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все" sheetId="1" state="visible" r:id="rId1"/>
  </sheets>
  <definedNames>
    <definedName name="_xlnm._FilterDatabase" localSheetId="0" hidden="1">все!$A$6:$S$316</definedName>
    <definedName name="Print_Titles" localSheetId="0">все!$3:$4</definedName>
    <definedName name="_xlnm.Print_Area" localSheetId="0">все!$A$1:$R$316</definedName>
  </definedNames>
  <calcPr/>
</workbook>
</file>

<file path=xl/sharedStrings.xml><?xml version="1.0" encoding="utf-8"?>
<sst xmlns="http://schemas.openxmlformats.org/spreadsheetml/2006/main" count="404" uniqueCount="404">
  <si>
    <t xml:space="preserve"> Строительная программа на 2025 год</t>
  </si>
  <si>
    <t xml:space="preserve">тыс. рублей</t>
  </si>
  <si>
    <t>Наказы</t>
  </si>
  <si>
    <t xml:space="preserve">Наименование направлений и объектов  </t>
  </si>
  <si>
    <t xml:space="preserve">Мощность, ввод</t>
  </si>
  <si>
    <t>Заказчик</t>
  </si>
  <si>
    <t xml:space="preserve">Лимит 2025 года</t>
  </si>
  <si>
    <t xml:space="preserve">Кредиторская задолженность на 01.01.2025</t>
  </si>
  <si>
    <t xml:space="preserve">Выполнение январь-февраль</t>
  </si>
  <si>
    <t xml:space="preserve">Финансирование на 28.02.2025</t>
  </si>
  <si>
    <t xml:space="preserve">остаток финансирования</t>
  </si>
  <si>
    <t xml:space="preserve">% финансирования </t>
  </si>
  <si>
    <t>Подрядчик</t>
  </si>
  <si>
    <t xml:space="preserve">всего, в т.ч.</t>
  </si>
  <si>
    <t xml:space="preserve">обл. бюджет</t>
  </si>
  <si>
    <t xml:space="preserve">бюджет МО</t>
  </si>
  <si>
    <t xml:space="preserve">фед. бюджет</t>
  </si>
  <si>
    <t xml:space="preserve">Всего, в том числе</t>
  </si>
  <si>
    <t xml:space="preserve">Вводные объекты (всего)</t>
  </si>
  <si>
    <t xml:space="preserve">% финансирования</t>
  </si>
  <si>
    <t xml:space="preserve">в т.ч. вводные 2025 года</t>
  </si>
  <si>
    <t xml:space="preserve">вводные предыдущих лет</t>
  </si>
  <si>
    <t xml:space="preserve">вводные УКС (всего)</t>
  </si>
  <si>
    <t xml:space="preserve">в т.ч. вводные 2025 годаУКС</t>
  </si>
  <si>
    <t xml:space="preserve">вводные предыдущих лет УКС</t>
  </si>
  <si>
    <t xml:space="preserve">вводные Арена (всего)</t>
  </si>
  <si>
    <t xml:space="preserve">в т.ч. вводные 2025 года </t>
  </si>
  <si>
    <t xml:space="preserve">вводные предыдущих лет </t>
  </si>
  <si>
    <t xml:space="preserve">Переходящие и вновь начинаемые объекты</t>
  </si>
  <si>
    <t xml:space="preserve">Программы и мероприятия</t>
  </si>
  <si>
    <t xml:space="preserve">Строительство объектов образования</t>
  </si>
  <si>
    <t xml:space="preserve">Государственная программа Новосибирской области «Развитие образования, создание условий для социализации детей и учащейся молодежи в Новосибирской области»</t>
  </si>
  <si>
    <t xml:space="preserve">Вводные объекты</t>
  </si>
  <si>
    <t>18-103</t>
  </si>
  <si>
    <t xml:space="preserve">Здание школы в с. Толмачево Новосибирского района</t>
  </si>
  <si>
    <t xml:space="preserve">введен в 2024 году
</t>
  </si>
  <si>
    <t xml:space="preserve">ГКУ НСО УКС</t>
  </si>
  <si>
    <t xml:space="preserve">ООО "СРС" </t>
  </si>
  <si>
    <t>07-307</t>
  </si>
  <si>
    <t xml:space="preserve">Школа в п. Элитный Новосибирского района</t>
  </si>
  <si>
    <t>18-041</t>
  </si>
  <si>
    <t xml:space="preserve">Здание школы в с. Марусино Новосибирского района</t>
  </si>
  <si>
    <r>
      <rPr>
        <b/>
        <sz val="12"/>
        <rFont val="Arial"/>
      </rPr>
      <t xml:space="preserve">введен 
2 этап</t>
    </r>
    <r>
      <rPr>
        <sz val="12"/>
        <rFont val="Arial"/>
      </rPr>
      <t xml:space="preserve">
550</t>
    </r>
  </si>
  <si>
    <t xml:space="preserve">ООО "АМТ-ГРУПП"</t>
  </si>
  <si>
    <t>15-276</t>
  </si>
  <si>
    <t xml:space="preserve">Здание школы по ул. Центральная,5 в с. Репьево Тогучинского района</t>
  </si>
  <si>
    <t xml:space="preserve">ООО "ЛИКСТРОЙ"</t>
  </si>
  <si>
    <t>22-018</t>
  </si>
  <si>
    <t xml:space="preserve">Здание школы по ул. Кубовой, 100 в Заельцовском районе</t>
  </si>
  <si>
    <t xml:space="preserve">Мэрия г.Новосибирска</t>
  </si>
  <si>
    <t xml:space="preserve">ООО "СУ РСТ"</t>
  </si>
  <si>
    <t xml:space="preserve">Здание детского сада-яслей в с. Марусино Новосибирского района</t>
  </si>
  <si>
    <t xml:space="preserve">120 / 40</t>
  </si>
  <si>
    <t xml:space="preserve">ООО "Строймарт"</t>
  </si>
  <si>
    <t>01-422</t>
  </si>
  <si>
    <t xml:space="preserve">Здание детского сада-яслей в р.п. Чаны Чановского района</t>
  </si>
  <si>
    <t xml:space="preserve">100 / 60</t>
  </si>
  <si>
    <t xml:space="preserve">ООО "ГРАНИТ"</t>
  </si>
  <si>
    <t xml:space="preserve">Здание школы в д.п. Кудряшовский Новосибирского района</t>
  </si>
  <si>
    <t xml:space="preserve">ООО ПКФ "Агросервис"</t>
  </si>
  <si>
    <t xml:space="preserve">Реконструкция здания (школа, пристройка мастерских и бассейна) по ул. Крылова, 44 в Центральном районе с увеличением объема. Пристройка к зданию (школа, пристройка мастерских и бассейна) (I этап строительства)</t>
  </si>
  <si>
    <t xml:space="preserve">ООО "СПЕЦТЕХ"</t>
  </si>
  <si>
    <t>20-044</t>
  </si>
  <si>
    <t xml:space="preserve">Здание корпуса школы для МБОУ «Лицей № 113» по ул. Бориса Богаткова, 241/1 в Дзержинском районе</t>
  </si>
  <si>
    <t xml:space="preserve">АО "БСТ"</t>
  </si>
  <si>
    <t>10-267</t>
  </si>
  <si>
    <t xml:space="preserve">Реконструкция здания МКОУ Чикская СОШ №7, по адресу: Новосибирская область, Коченевский район, р.п. Чик, ул. Школьная, 1</t>
  </si>
  <si>
    <t xml:space="preserve">Администрация Коченевского района</t>
  </si>
  <si>
    <t>01-154</t>
  </si>
  <si>
    <t xml:space="preserve">Здание школы д. Лукошино Купинского района</t>
  </si>
  <si>
    <t xml:space="preserve">АО «СИБАВИАСТРОЙПРОЕКТ»</t>
  </si>
  <si>
    <t>02-217</t>
  </si>
  <si>
    <t xml:space="preserve">Здание школы в г. Татарске Татарского района</t>
  </si>
  <si>
    <t>13-092</t>
  </si>
  <si>
    <t xml:space="preserve">Средняя общеобразовательная школа в р.п.Посевная Черепановского района</t>
  </si>
  <si>
    <t>08-001</t>
  </si>
  <si>
    <t xml:space="preserve">Здание пристройки к школе №1 с.Довольное</t>
  </si>
  <si>
    <t xml:space="preserve">ООО ПК "Крипта" (проектирование)</t>
  </si>
  <si>
    <t>07-201</t>
  </si>
  <si>
    <t xml:space="preserve">Здание пристройки к школе в с.Верх-Ирмень</t>
  </si>
  <si>
    <t xml:space="preserve">Школа-интернат для слабослышащих детей г.Куйбышев</t>
  </si>
  <si>
    <t>10-219</t>
  </si>
  <si>
    <t xml:space="preserve">Здание детского сада в с.Чистополье Коченевского района</t>
  </si>
  <si>
    <t xml:space="preserve">ООО "ПРОЕКТНЫЕ ТЕХНОЛОГИИ" (проектирование)</t>
  </si>
  <si>
    <t xml:space="preserve">Строительство объектов здравоохранения</t>
  </si>
  <si>
    <t xml:space="preserve">Государственная программа Новосибирской области "Развитие здравоохранения Новосибирской области"  </t>
  </si>
  <si>
    <t>14-096</t>
  </si>
  <si>
    <t xml:space="preserve">Реконструкция Государственного бюджетного учреждения здравоохранения Новосибирской области «Маслянинская центральная районная больница»</t>
  </si>
  <si>
    <t xml:space="preserve">ЗАО "РСУ-5" НГС</t>
  </si>
  <si>
    <t>09-613</t>
  </si>
  <si>
    <t xml:space="preserve">Реконструкция здания поликлиники ГБУЗ НСО "Колыванская ЦРБ"</t>
  </si>
  <si>
    <t xml:space="preserve">ООО СК "АСК"</t>
  </si>
  <si>
    <t>10-057</t>
  </si>
  <si>
    <t xml:space="preserve">Здание поликлинического отделения ГБУЗ НСО "Чулымская ЦРБ"</t>
  </si>
  <si>
    <t xml:space="preserve">АО «БСТ»</t>
  </si>
  <si>
    <t xml:space="preserve">Реконструкция здания поликлиники ГБУЗ НСО "Краснозерская ЦРБ"</t>
  </si>
  <si>
    <t xml:space="preserve">Здание детской поликлиники мощностью 250 п/см ГБУЗ НСО "Барабинская ЦРБ"</t>
  </si>
  <si>
    <t xml:space="preserve">250 пос/см</t>
  </si>
  <si>
    <t xml:space="preserve">ООО ПФК "КАСОР"</t>
  </si>
  <si>
    <t xml:space="preserve">Реконструкция ГБУЗ НСО «Колыванская ЦРБ» в р.п. Колывань, Новосибирской области</t>
  </si>
  <si>
    <t xml:space="preserve">46 коек</t>
  </si>
  <si>
    <t xml:space="preserve">Водозаборная скважина на территории ГБУЗ НСО «Чулымская ЦРБ» </t>
  </si>
  <si>
    <t xml:space="preserve">ООО "АКВАСТРОЙРУС"</t>
  </si>
  <si>
    <t>05-158</t>
  </si>
  <si>
    <t xml:space="preserve">Строительство блока помещений инженерных служб с лестнично-лифтовой группой. 1 этап реконструкции здания лечебного корпуса ГБУЗ НСО "Баганская ЦРБ"</t>
  </si>
  <si>
    <t>01-209</t>
  </si>
  <si>
    <t xml:space="preserve">Здание пищеблока ГБУЗ НСО "Кыштовская ЦРБ"</t>
  </si>
  <si>
    <t>ФАПы</t>
  </si>
  <si>
    <t xml:space="preserve">Вводные ФАПы</t>
  </si>
  <si>
    <t xml:space="preserve">Здание фельдшерско-акушерского пункта в д. Большеречка Государственного бюджетного учреждения здравоохранения Новосибирской области "Болотнинская ЦРБ"</t>
  </si>
  <si>
    <t xml:space="preserve">введен в 2024 году</t>
  </si>
  <si>
    <t xml:space="preserve">ООО АДГ "КРЕАТИВ-СИБИРЬ"</t>
  </si>
  <si>
    <t>10-196</t>
  </si>
  <si>
    <t xml:space="preserve">Здание фельдшерско-акушерского пункта  в п. Светлый  Государственного бюджетного учреждения здравоохранения Новосибирской области "Коченевская ЦРБ"</t>
  </si>
  <si>
    <t>15-141</t>
  </si>
  <si>
    <t xml:space="preserve">Здание фельдшерско-акушерского пункта в с. Юрты Государственного бюджетного учреждения здравоохранения Новосибирской области «Тогучинская центральная районная больница»</t>
  </si>
  <si>
    <t xml:space="preserve">ООО "СИБПРО"</t>
  </si>
  <si>
    <t>04-274</t>
  </si>
  <si>
    <t xml:space="preserve">Здание фельдшерско-акушерского пункта в с. Петраки Государственного бюджетного учреждения здравоохранения Новосибирской области "Здвинская ЦРБ"</t>
  </si>
  <si>
    <t xml:space="preserve">ООО "СОВРЕМЕННЫЕ СТРОИТЕЛЬНЫЕ РЕШЕНИЯ"</t>
  </si>
  <si>
    <t>13-228</t>
  </si>
  <si>
    <t xml:space="preserve">Здание фельдшерско-акушерского пункта в д.Холодное Государственного бюджетного учреждения здравоохранения Новосибирской области "Сузунская ЦРБ"</t>
  </si>
  <si>
    <t xml:space="preserve">ООО "ОЛИМПИК"</t>
  </si>
  <si>
    <t>05-107</t>
  </si>
  <si>
    <t xml:space="preserve">Здание фельдшерско-акушерского пункта в д. Веселый Кут  Государственного бюджетного учреждения здравоохранения Новосибирской области "Купинская ЦРБ"</t>
  </si>
  <si>
    <t xml:space="preserve">ЗАО СУ "ДОРОЖНИК"</t>
  </si>
  <si>
    <t>01-001</t>
  </si>
  <si>
    <t xml:space="preserve">Здание фельдшерско-акушерского пункта в д. Михайловка Государственного бюджетного учреждения здравоохранения Новосибирской области "Купинская ЦРБ"</t>
  </si>
  <si>
    <t>08-133</t>
  </si>
  <si>
    <t xml:space="preserve">Здание фельдшерско-акушерского пункта в д. Асенкритово Государственного бюджетного учреждения здравоохранения Новосибирской области "Убинская ЦРБ"</t>
  </si>
  <si>
    <t xml:space="preserve">Здание фельдшерско-акушерского пункта в п. Рощинский Государственного бюджетного учреждения здравоохранения Новосибирской области «Искитимская центральная районная больница»</t>
  </si>
  <si>
    <t xml:space="preserve">ООО "ПРОФИСТРОЙ"</t>
  </si>
  <si>
    <t>09-148</t>
  </si>
  <si>
    <t xml:space="preserve">Здание фельдшерско-акушерского пункта в с.Воробьево Государственного бюджетного учреждения здравоохранения Новосибирской области "Колыванская центральная районная больница"</t>
  </si>
  <si>
    <t>14-056</t>
  </si>
  <si>
    <t xml:space="preserve">Здание фельдшерско-акушерского пункта в п. Зимовье Государственного бюджетного учреждения здравоохранения Новосибирской области «Черепановская центральная районная больница»</t>
  </si>
  <si>
    <t xml:space="preserve">ООО "КОРОНА"</t>
  </si>
  <si>
    <t xml:space="preserve">Здание фельдшерско-акушерского пункта в с.Березово Государственного бюджетного учреждения здравоохранения Новосибирской области «Маслянинская ЦРБ»</t>
  </si>
  <si>
    <t>08-045</t>
  </si>
  <si>
    <t xml:space="preserve">Здание фельдшерско-акушерского пункта в с. Индерь Государственного бюджетного учреждения здравоохранения Новосибирской области «Доволенская центральная районная больница»</t>
  </si>
  <si>
    <t xml:space="preserve">Здание фельдшерско-акушерского пункта в с. Чернаки Государственного бюджетного учреждения здравоохранения Новосибирской области «Краснозерская центральная районная больница»</t>
  </si>
  <si>
    <t xml:space="preserve">Здание фельдшерско-акушерского пункта в с. Дергаусово Государственного бюджетного учреждения здравоохранения Новосибирской области «Тогучинская  центральная районная больница»</t>
  </si>
  <si>
    <t xml:space="preserve">ООО СК "МЕГАПОЛИССТРОЙ"</t>
  </si>
  <si>
    <t xml:space="preserve">Здание фельдшерско-акушерского пункта в с. Щербаки  Государственного бюджетного учреждения здравоохранения Новосибирской области «Усть-Таркская центральная районная больница»</t>
  </si>
  <si>
    <t>01-038</t>
  </si>
  <si>
    <t xml:space="preserve">Здание фельдшерско-акушерского пункта  в  д. Селикла Государственного бюджетного учреждения здравоохранения Новосибирской области "Венгеровская ЦРБ"</t>
  </si>
  <si>
    <t xml:space="preserve">Здание фельдшерско-акушерского пункта  в д. Малая Скирла Государственного бюджетного учреждения здравоохранения Новосибирской области "Кыштовская ЦРБ"</t>
  </si>
  <si>
    <t>17-017</t>
  </si>
  <si>
    <t xml:space="preserve">Здание фельдшерско-акушерского пункта в  п. Двуречье Государственного бюджетного учреждения здравоохранения Новосибирской области "НКРБ № 1"</t>
  </si>
  <si>
    <t xml:space="preserve">Здание фельдшерско-акушерского пункта в с. Новоникольск  Государственного бюджетного учреждения здравоохранения Новосибирской области "Усть-Таркская ЦРБ"</t>
  </si>
  <si>
    <t xml:space="preserve">Здание фельдшерско-акушерского пункта в  аул Тебис Государственного бюджетного учреждения здравоохранения Новосибирской области "Чановская ЦРБ"</t>
  </si>
  <si>
    <t xml:space="preserve">Здание фельдшерско-акушерского пункта в д. Устьянцево Государственного бюджетного учреждения здравоохранения Новосибирской области "Барабинская ЦРБ"</t>
  </si>
  <si>
    <t xml:space="preserve">ИП АУШЕВ ИСЛАМ АЛАУДИНОВИЧ</t>
  </si>
  <si>
    <t>05-375</t>
  </si>
  <si>
    <t xml:space="preserve">Здание фельдшерско-акушерского пункта в с. Кузнецовка Государственного бюджетного учреждения здравоохранения Новосибирской области «Баганская центральная районная больница»</t>
  </si>
  <si>
    <t>01-010</t>
  </si>
  <si>
    <t xml:space="preserve">Здание фельдшерско-акушерского пункта в д. Вороновка Государственного бюджетного учреждения здравоохранения Новосибирской области «Купинская центральная районная больница»</t>
  </si>
  <si>
    <t xml:space="preserve"> ЗАО СУ "Дорожник"</t>
  </si>
  <si>
    <t>05-096</t>
  </si>
  <si>
    <t xml:space="preserve">Здание фельдшерско-акушерского пункта в с.Новоключи Государственного бюджетного учреждения здравоохранения Новосибирской области «Купинская центральная районная больница»</t>
  </si>
  <si>
    <t>01-536</t>
  </si>
  <si>
    <t xml:space="preserve">Здание фельдшерско-акушерского пункта в п. Новояркуль  Государственного бюджетного учреждения здравоохранения Новосибирской области «Чановская  центральная районная больница»</t>
  </si>
  <si>
    <t>04-251</t>
  </si>
  <si>
    <t xml:space="preserve">Здание фельдшерско-акушерского пункта в с. Верх-Урюм  Государственного бюджетного учреждения здравоохранения Новосибирской области "Здвинская ЦРБ"</t>
  </si>
  <si>
    <t xml:space="preserve">Здание фельдшерско-акушерского пункта в д. Малый Оеш Государственного бюджетного учреждения здравоохранения Новосибирской области «Колыванская центральная районная больница»</t>
  </si>
  <si>
    <t>15-057</t>
  </si>
  <si>
    <t xml:space="preserve">Здание фельдшерско-акушерского пункта в с. Сарапулка Государственного бюджетного учреждения здравоохранения Новосибирской области «Мошковская  центральная районная больница»</t>
  </si>
  <si>
    <t>01-534</t>
  </si>
  <si>
    <t xml:space="preserve">Здание фельдшерско-акушерского пункта в п. Новопреображенка  Государственного бюджетного учреждения здравоохранения Новосибирской области «Чановская  центральная районная больница»</t>
  </si>
  <si>
    <t xml:space="preserve">Здание фельдшерско-акушерского пункта в с. Варваровка Государственного бюджетного учреждения здравоохранения Новосибирской области "Чистоозерная ЦРБ"</t>
  </si>
  <si>
    <t xml:space="preserve">Переходящие и вновь начинаемые ФАПы</t>
  </si>
  <si>
    <t>08-207</t>
  </si>
  <si>
    <t xml:space="preserve">Здание фельдшерско-акушерского пункта в с. Серебрянское Государственного бюджетного учреждения здравоохранения Новосибирской области "Чулымская ЦРБ"</t>
  </si>
  <si>
    <t>05-390</t>
  </si>
  <si>
    <t xml:space="preserve">Здание фельдшерско-акушерского пункта в с. Вознесенка Государственного бюджетного учреждения здравоохранения Новосибирской области "Баганская ЦРБ"</t>
  </si>
  <si>
    <t xml:space="preserve">ООО "Северный трест"</t>
  </si>
  <si>
    <t>05-251</t>
  </si>
  <si>
    <t xml:space="preserve">Здание фельдшерско-акушерского пункта в с. Шилово-Курья Государственного бюджетного учреждения здравоохранения Новосибирской области «Карасукская  центральная районная больница»</t>
  </si>
  <si>
    <t xml:space="preserve">Здание фельдшерско-акушерского пункта в с.Бергуль Государственного бюджетного учреждения здравоохранения Новосибирской области "Северная  центральная районная больница"</t>
  </si>
  <si>
    <t xml:space="preserve">Здание фельдшерско-акушерского пункта в д. Первомихайловка Государственного бюджетного учреждения здравоохранения Новосибирской области "Татарская ЦРБ"</t>
  </si>
  <si>
    <t xml:space="preserve">ООО Инженерная компания "РЕСУРС"</t>
  </si>
  <si>
    <t>09-220</t>
  </si>
  <si>
    <t xml:space="preserve">Здание фельдшерско-акушерского пункта в д. Баратаевка Государственного бюджетного учреждения здравоохранения Новосибирской области «Болотнинская центральная районная больница»</t>
  </si>
  <si>
    <t>13-075</t>
  </si>
  <si>
    <t xml:space="preserve">Здание фельдшерско-акушерского пункта в п. Маяк Государственного бюджетного учреждения здравоохранения Новосибирской области «Искитимская центральная городская  больница»</t>
  </si>
  <si>
    <t xml:space="preserve">Здание фельдшерско-акушерского пункта в с. Форпост -Каргат Государственного бюджетного учреждения здравоохранения Новосибирской области «Каргатская центральная районная больница»</t>
  </si>
  <si>
    <t xml:space="preserve">Здание фельдшерско-акушерского пункта в с. Катково Государственного бюджетного учреждения здравоохранения Новосибирской области «Коченёвская центральная районная больница»</t>
  </si>
  <si>
    <t xml:space="preserve">Здание фельдшерско-акушерского пункта в с. Майское Государственного бюджетного учреждения здравоохранения Новосибирской области «Краснозерская центральная районная больница»</t>
  </si>
  <si>
    <t xml:space="preserve">Здание фельдшерско-акушерского пункта в с. Гербаево Государственного бюджетного учреждения здравоохранения Новосибирской области «Краснозерская центральная районная больница»</t>
  </si>
  <si>
    <t xml:space="preserve">Здание фельдшерско-акушерского пункта в с. Черновка   Государственного бюджетного учреждения здравоохранения Новосибирской области «Кыштовская  центральная районная больница»</t>
  </si>
  <si>
    <t xml:space="preserve">Здание фельдшерско-акушерского пункта в п. Гусиный Брод Государственного бюджетного учреждения здравоохранения Новосибирской области «НКЦРБ»</t>
  </si>
  <si>
    <t>13-122</t>
  </si>
  <si>
    <t xml:space="preserve">Здание фельдшерско-акушерского пункта в п. Инской Государственного бюджетного учреждения здравоохранения Новосибирской области «Черепановская центральная районная больница»</t>
  </si>
  <si>
    <t>17-345</t>
  </si>
  <si>
    <t xml:space="preserve">Здание фельдшерско-акушерского пункта в п. Емельяновский Государственного бюджетного учреждения здравоохранения Новосибирской области «Мошковская  центральная районная больница»</t>
  </si>
  <si>
    <t xml:space="preserve">Здание фельдшерско-акушерского пункта в с. Иванкино Государственного бюджетного учреждения здравоохранения Новосибирской области "Каргатская ЦРБ"</t>
  </si>
  <si>
    <t xml:space="preserve">Здание фельдшерско-акушерского пункта в п. им. Крупской Государственного бюджетного учреждения здравоохранения Новосибирской области  "НКЦРБ"</t>
  </si>
  <si>
    <t xml:space="preserve">Здание фельдшерско-акушерского пункта в с. Ярки Государственного бюджетного учреждения здравоохранения Новосибирской области "Черепановская ЦРБ"</t>
  </si>
  <si>
    <t>15-240</t>
  </si>
  <si>
    <t xml:space="preserve">Здание фельдшерско-акушерского пункта в д. Боровлянка  Государственного бюджетного учреждения здравоохранения Новосибирской области "Тогучинская ЦРБ"</t>
  </si>
  <si>
    <t>02-442</t>
  </si>
  <si>
    <t xml:space="preserve">Здание фельдшерско-акушерского пункта в с. Новопокровка Государственного бюджетного учреждения здравоохранения Новосибирской области «Татарская центральная районная больница»</t>
  </si>
  <si>
    <t xml:space="preserve">Здание фельдшерско-акушерского пункта в д. Тайлаково Государственного бюджетного учреждения здравоохранения Новосибирской области «Татарская центральная районная больница»</t>
  </si>
  <si>
    <t>05-364</t>
  </si>
  <si>
    <t xml:space="preserve">Здание фельдшерско-акушерского пункта в с. Тычкино Государственного бюджетного учреждения здравоохранения Новосибирской области "Баганская ЦРБ"</t>
  </si>
  <si>
    <t>05-412</t>
  </si>
  <si>
    <t xml:space="preserve">Здание фельдшерско-акушерского пункта в д. Петрушино  Государственного бюджетного учреждения здравоохранения Новосибирской области "Баганская ЦРБ"</t>
  </si>
  <si>
    <t xml:space="preserve">Здание фельдшерско-акушерского пункта в д. Богатиха  Государственного бюджетного учреждения здравоохранения Новосибирской области "Барабинская ЦРБ"</t>
  </si>
  <si>
    <t xml:space="preserve">Здание фельдшерско-акушерского пункта в с. Новокозловское  Государственного бюджетного учреждения здравоохранения Новосибирской области "Барабинская ЦРБ"</t>
  </si>
  <si>
    <t>09-371</t>
  </si>
  <si>
    <t xml:space="preserve">Здание фельдшерско-акушерского пункта в с. Светлая Поляна  Государственного бюджетного учреждения здравоохранения Новосибирской области "Болотнинская ЦРБ"</t>
  </si>
  <si>
    <t>09-284</t>
  </si>
  <si>
    <t xml:space="preserve">Здание фельдшерско-акушерского пункта в п. Бор  Государственного бюджетного учреждения здравоохранения Новосибирской области "Болотнинская ЦРБ"</t>
  </si>
  <si>
    <t xml:space="preserve">Здание фельдшерско-акушерского пункта в п. Красная Грива Государственного бюджетного учреждения здравоохранения Новосибирской области «Доволенская центральная районная больница»</t>
  </si>
  <si>
    <t xml:space="preserve">Здание фельдшерско-акушерского пункта в с.Хорошее Государственного бюджетного учреждения здравоохранения Новосибирской области "Карасукская ЦРБ"</t>
  </si>
  <si>
    <t>05-105</t>
  </si>
  <si>
    <t xml:space="preserve">Здание фельдшерско-акушерского пункта в п. Советский  Государственного бюджетного учреждения здравоохранения Новосибирской области "Купинская ЦРБ"</t>
  </si>
  <si>
    <t xml:space="preserve">Здание фельдшерско-акушерского пункта в с. Лягушье  Государственного бюджетного учреждения здравоохранения Новосибирской области "Купинская ЦРБ"</t>
  </si>
  <si>
    <t>05-109</t>
  </si>
  <si>
    <t xml:space="preserve">Здание фельдшерско-акушерского пункта в с. Медяково  Государственного бюджетного учреждения здравоохранения Новосибирской области "Купинская ЦРБ"</t>
  </si>
  <si>
    <t>15-064</t>
  </si>
  <si>
    <t xml:space="preserve">Здание фельдшерско-акушерского пункта в с. Мотково  Государственного бюджетного учреждения здравоохранения Новосибирской области "Мошковская ЦРБ"</t>
  </si>
  <si>
    <t>15-133</t>
  </si>
  <si>
    <t xml:space="preserve"> Здание фельдшерско-акушерского пункта вп. Мирный  Государственного бюджетного учреждения здравоохранения Новосибирской области "Тогучинская ЦРБ"</t>
  </si>
  <si>
    <t>18-091</t>
  </si>
  <si>
    <t xml:space="preserve">Здание фельдшерско-акушерского пункта в п. Новоозерный Государственного бюджетного учреждения здравоохранения Новосибирской области «Новосибирская районная больница № 2»</t>
  </si>
  <si>
    <t xml:space="preserve">Детская туберкулезная больница в п. Мочище - филиал ГБУЗ НСО "Государственной областной Новосибирской туберкулезной больницы". Реконструкция</t>
  </si>
  <si>
    <t xml:space="preserve">160 коек</t>
  </si>
  <si>
    <t xml:space="preserve">АО "БСТ"
ООО "Строительная компания Прима"</t>
  </si>
  <si>
    <t>06-048</t>
  </si>
  <si>
    <t xml:space="preserve">Реконструкция больничного комплекса Государственного бюджетного учреждения здравоохранения Новосибирской области «Кочковская центральная районная больница»</t>
  </si>
  <si>
    <t xml:space="preserve">300 коек</t>
  </si>
  <si>
    <t xml:space="preserve">ООО "СВС"</t>
  </si>
  <si>
    <t xml:space="preserve">Детская областная клиническая больница ГБУЗ НСО "ГНОКБ"</t>
  </si>
  <si>
    <t xml:space="preserve">254 койки</t>
  </si>
  <si>
    <t xml:space="preserve">АО Гипроздрав (проектирование)</t>
  </si>
  <si>
    <t>08-235-6</t>
  </si>
  <si>
    <t xml:space="preserve">Здание нового хирургического корпуса ГБУЗ НСО "Каргатская ЦРБ"</t>
  </si>
  <si>
    <t xml:space="preserve">60 коек</t>
  </si>
  <si>
    <t xml:space="preserve">ЗАО РСУ-5 "НГС"</t>
  </si>
  <si>
    <t>35-048</t>
  </si>
  <si>
    <t xml:space="preserve">Здание подстанции ГБУЗ НСО «Станция скорой медицинской помощи» в Первомайском районе</t>
  </si>
  <si>
    <t xml:space="preserve">5 машин</t>
  </si>
  <si>
    <t xml:space="preserve">ООО Проект-Согласование (проектирование)</t>
  </si>
  <si>
    <t>13-219</t>
  </si>
  <si>
    <t xml:space="preserve">Реконструкция поликлиники ГБУЗ НСО «Сузунская ЦРБ»» </t>
  </si>
  <si>
    <t xml:space="preserve">ООО "ЭПРИС" (проектирование)</t>
  </si>
  <si>
    <t>05-003</t>
  </si>
  <si>
    <t xml:space="preserve">Здание общежития для студентов ГАПОУ НСО "Купинский медицинский техникум"</t>
  </si>
  <si>
    <t xml:space="preserve">150 чел</t>
  </si>
  <si>
    <t xml:space="preserve">ООО "УСП" (проектирование)</t>
  </si>
  <si>
    <t xml:space="preserve">Строительство объектов культуры</t>
  </si>
  <si>
    <t xml:space="preserve">Государственная программа Новосибирской области "Культура Новосибирской области"</t>
  </si>
  <si>
    <t xml:space="preserve">Вводные объекты </t>
  </si>
  <si>
    <t>14-015</t>
  </si>
  <si>
    <t xml:space="preserve">Здание ДШИ в г.Черепаново</t>
  </si>
  <si>
    <t xml:space="preserve">ООО "Корона"</t>
  </si>
  <si>
    <t>18-121</t>
  </si>
  <si>
    <t xml:space="preserve">Дом культуры в селе Ярково Новосибирского района Новосибирской области</t>
  </si>
  <si>
    <t xml:space="preserve">ООО «Архитектурно-Строительная Компания МОНОЛИТ»</t>
  </si>
  <si>
    <t>37-238</t>
  </si>
  <si>
    <t xml:space="preserve">Музыкальная школа по ул. Терешковой в Советском районе</t>
  </si>
  <si>
    <t xml:space="preserve">800 учащихся</t>
  </si>
  <si>
    <t>05-282</t>
  </si>
  <si>
    <t xml:space="preserve">Здание государственного бюджетного учреждения культуры Новосибирской области "Молодёжный драматический театр "На окраине", по ул. Совхозная, 119, в г. Карасуке Новосибирской области, реконструкция</t>
  </si>
  <si>
    <t xml:space="preserve">ООО Верста (проектирование)</t>
  </si>
  <si>
    <t>07-002</t>
  </si>
  <si>
    <t xml:space="preserve">Здание детской школы искусств в р.п.Ордынское</t>
  </si>
  <si>
    <t>06-008</t>
  </si>
  <si>
    <t xml:space="preserve">Дом культуры в п. Новые Решеты Новорешетовский сельсовет Кочковский район </t>
  </si>
  <si>
    <t xml:space="preserve">Реконструкция здания ГАУК НСО "Сибирь-Концерт"</t>
  </si>
  <si>
    <t xml:space="preserve">ООО "Архитектурная мастерская Тоскина" (проектирование)</t>
  </si>
  <si>
    <t>10-047</t>
  </si>
  <si>
    <t xml:space="preserve">Здание районного дома культуры с детской школой искусств в г.Чулыме Новосибирской области</t>
  </si>
  <si>
    <t xml:space="preserve">ООО "ГРАНИТ" </t>
  </si>
  <si>
    <t>13-104</t>
  </si>
  <si>
    <t xml:space="preserve">Здание ДК в р.п.Дорогино Черепановского района</t>
  </si>
  <si>
    <t xml:space="preserve">Строительство объектов спорта</t>
  </si>
  <si>
    <t xml:space="preserve">Государственная программа Новосибирской области "Развитие физической культуры и спорта в Новосибирской области"</t>
  </si>
  <si>
    <t xml:space="preserve">Многофункциональная ледовая арена по ул. Немировича-Данченко в городе Новосибирске</t>
  </si>
  <si>
    <t xml:space="preserve">введен в 2023 году
</t>
  </si>
  <si>
    <t xml:space="preserve">ГКУ НСО Арена</t>
  </si>
  <si>
    <t xml:space="preserve">ООО "ЭлинАльфа"</t>
  </si>
  <si>
    <t>04-296</t>
  </si>
  <si>
    <t xml:space="preserve">Строительство плавательного бассейна в с. Здвинск Здвинского района</t>
  </si>
  <si>
    <t xml:space="preserve">ООО "Архитектурно-строительная компания 1"</t>
  </si>
  <si>
    <t>03-001</t>
  </si>
  <si>
    <t xml:space="preserve">Здание физкультурно-оздоровительного комплекса в с.Северном Новосибирской области</t>
  </si>
  <si>
    <t xml:space="preserve">49 пос/см</t>
  </si>
  <si>
    <t xml:space="preserve">ООО СК "АСК" </t>
  </si>
  <si>
    <t xml:space="preserve">Строительство физкультурно-оздоровительного комплекса со спортивными залами ГАПОУ НСО НУ(К)ОР по ул. Немировича-Данченко в г. Новосибирске</t>
  </si>
  <si>
    <t xml:space="preserve">129 человек в смену</t>
  </si>
  <si>
    <t xml:space="preserve">ООО ПКФ «Агросервис»
ООО СК "АСК"</t>
  </si>
  <si>
    <t>15-105</t>
  </si>
  <si>
    <t xml:space="preserve">Строительство плавательного бассейна в г.Тогучин Тогучинского района</t>
  </si>
  <si>
    <t>10-306</t>
  </si>
  <si>
    <t xml:space="preserve">Плавательный бассейн в р.п.Коченево Коченевского района Новосибирской области</t>
  </si>
  <si>
    <t xml:space="preserve">Универсальный спортивный-оздоровительный зал, расположенный на ул.Обская, с.Довольное, Доволенского района</t>
  </si>
  <si>
    <t xml:space="preserve">Строительство прочих объектов</t>
  </si>
  <si>
    <t xml:space="preserve">Государственная программа Новосибирской области "Региональная программа развития среднего профессионального образования Новосибирской области"</t>
  </si>
  <si>
    <t>08-006</t>
  </si>
  <si>
    <t xml:space="preserve">Здание студенческого общежития аграрного колледжа в с. Довольное Доволенского района</t>
  </si>
  <si>
    <t xml:space="preserve">23 места</t>
  </si>
  <si>
    <t xml:space="preserve">ООО "Регионпроект"</t>
  </si>
  <si>
    <t xml:space="preserve">Колледж в микрорайоне "Клюквенный" города Новосибирска</t>
  </si>
  <si>
    <t xml:space="preserve">Государственная программа Новосибирской области "Социальная поддержка в Новосибирской области"</t>
  </si>
  <si>
    <t xml:space="preserve">Комплекс зданий  ГАУ НСО "ОЦСПСиД "Морской залив"</t>
  </si>
  <si>
    <t xml:space="preserve">Региональный многофункциональный центр реабилитации инвалидов и ветеранов (г.Бердск, территория БПВТ им Калинина). Этап 2 (строительство)</t>
  </si>
  <si>
    <t xml:space="preserve">ООО "ЭКО-ПРОЕКТ" (проектирование)</t>
  </si>
  <si>
    <t xml:space="preserve">Региональный многофункциональный центр реабилитации инвалидов и ветеранов (г. Бердск, территория БПВТ им Калинина). Этап 1 (реконструкция)
</t>
  </si>
  <si>
    <t xml:space="preserve">АО "ГРАЖДАНПРОЕКТ" (проектирование)</t>
  </si>
  <si>
    <t xml:space="preserve">Государственная программа Новосибирской области "Обеспечение безопасности жизнедеятельности населения Новосибирской области"</t>
  </si>
  <si>
    <t xml:space="preserve">Здание пожарного депо в р.п.Кольцово</t>
  </si>
  <si>
    <t xml:space="preserve">4 машины</t>
  </si>
  <si>
    <t xml:space="preserve">ООО "УРАЛСТРОЙПРОЕКТ" (проектирование)</t>
  </si>
  <si>
    <t xml:space="preserve">Здание пожарно-спасательной части по адресу: г.Новосибирск, Кировский район, ул.Немировича - Данченко</t>
  </si>
  <si>
    <t xml:space="preserve">Здание пожарного депо на территории Барышевского сельсовета Новосибирского района Новосибирской области</t>
  </si>
  <si>
    <t xml:space="preserve">3 машины</t>
  </si>
  <si>
    <t xml:space="preserve">ООО "ВЕЛАРИУМ"
(проектирование)</t>
  </si>
  <si>
    <t xml:space="preserve">Государственная программа Новосибирской области "Развитие автомобильных дорог регионального, межмуниципального и местного значения в Новосибирской области"</t>
  </si>
  <si>
    <t xml:space="preserve">Строительство автомобильной дороги от пляжа "Наутилус" вдоль территории "Многофункциональной ледовой арены" с заездом на дамбу Октябрьского моста в Кировском и Ленинском районах г.Новосибирска</t>
  </si>
  <si>
    <t xml:space="preserve">2,25 км</t>
  </si>
  <si>
    <t xml:space="preserve">МП «Метро МиР»</t>
  </si>
  <si>
    <t xml:space="preserve">Строительство автомобильной дороги от ул.Немировича-Данченко до территории "Многофункциональной ледовой арены" в Кировском районе г.Новосибирска</t>
  </si>
  <si>
    <t xml:space="preserve">0,645 км</t>
  </si>
  <si>
    <t xml:space="preserve">ООО "БРАВ-ТР"</t>
  </si>
  <si>
    <t xml:space="preserve">Строительство объектов и реализация мероприятий вне целевых программ</t>
  </si>
  <si>
    <t xml:space="preserve">Реконструкция Чулымского специального дома-интернат для престарелых и инвалидов с пристройкой шахты лифта г.Чулым Новосибирская область</t>
  </si>
  <si>
    <t xml:space="preserve">Реконструкция объекта капитального строительства "Новая подстанция "Академическая", 1 этап, г.Новосибирск" (ОБ)</t>
  </si>
  <si>
    <t xml:space="preserve">Имущественный взнос Новосибирской области в имущество публично-правовой компании "Фонд развития территорий" в целях урегулирования обязательств застройщиков перед гражданами – участниками долевого строительства на территории Новосибирской области</t>
  </si>
  <si>
    <t xml:space="preserve">Государственная программа Новосибирской области "Стимулирование развития жилищного строительства в Новосибирской области"</t>
  </si>
  <si>
    <t xml:space="preserve">Комплекс процессных мероприятий "Государственная поддержка в обеспечении жильем молодых семей"</t>
  </si>
  <si>
    <t xml:space="preserve">Дополнительные социальные выплаты молодым семьям при рождении (усыновлении) ребенка</t>
  </si>
  <si>
    <t xml:space="preserve">Обеспечение жильем молодых семей
(ИМБТ МО)</t>
  </si>
  <si>
    <t xml:space="preserve">Администрации  МО</t>
  </si>
  <si>
    <t xml:space="preserve">Баганский район</t>
  </si>
  <si>
    <t xml:space="preserve">Барабинский район</t>
  </si>
  <si>
    <t xml:space="preserve">Болотнинский район</t>
  </si>
  <si>
    <t xml:space="preserve">Венгеровский район</t>
  </si>
  <si>
    <t xml:space="preserve">Доволенский район</t>
  </si>
  <si>
    <t xml:space="preserve">Здвинский район</t>
  </si>
  <si>
    <t xml:space="preserve">Искитимский район</t>
  </si>
  <si>
    <t xml:space="preserve">Каргатский район</t>
  </si>
  <si>
    <t xml:space="preserve">Колыванский район</t>
  </si>
  <si>
    <t xml:space="preserve">Коченевский район</t>
  </si>
  <si>
    <t xml:space="preserve">Кочковский район</t>
  </si>
  <si>
    <t xml:space="preserve">Краснозерский район</t>
  </si>
  <si>
    <t xml:space="preserve">Куйбышевский район</t>
  </si>
  <si>
    <t xml:space="preserve">Купинский район</t>
  </si>
  <si>
    <t xml:space="preserve">Кыштовский район</t>
  </si>
  <si>
    <t xml:space="preserve">Мошковский район</t>
  </si>
  <si>
    <t xml:space="preserve">Новосибирский район</t>
  </si>
  <si>
    <t xml:space="preserve">Ордынский район</t>
  </si>
  <si>
    <t xml:space="preserve">Северный район</t>
  </si>
  <si>
    <t xml:space="preserve">Сузунский район</t>
  </si>
  <si>
    <t xml:space="preserve">Тогучинский район</t>
  </si>
  <si>
    <t xml:space="preserve">Убинский район</t>
  </si>
  <si>
    <t xml:space="preserve">Усть-Таркский район</t>
  </si>
  <si>
    <t xml:space="preserve">Чановский район</t>
  </si>
  <si>
    <t xml:space="preserve">Черепановский район</t>
  </si>
  <si>
    <t xml:space="preserve">Чистоозерный район</t>
  </si>
  <si>
    <t xml:space="preserve">Чулымский район</t>
  </si>
  <si>
    <t xml:space="preserve">Карасукский муниципальный округ</t>
  </si>
  <si>
    <t xml:space="preserve">Маслянинский муниципальный округ</t>
  </si>
  <si>
    <t xml:space="preserve">Татарский муниципальный округ</t>
  </si>
  <si>
    <t xml:space="preserve">г. Бердск</t>
  </si>
  <si>
    <t xml:space="preserve">г. Искитим</t>
  </si>
  <si>
    <t xml:space="preserve">р.п. Кольцово</t>
  </si>
  <si>
    <t xml:space="preserve">г. Обь</t>
  </si>
  <si>
    <t xml:space="preserve">г. Новосибирск</t>
  </si>
  <si>
    <t xml:space="preserve">Комплекс процессных мероприятий "Градостроительное развитие территорий Новосибирской области"</t>
  </si>
  <si>
    <t xml:space="preserve">Организация проведения, участие в выставочно-ярмарочных и конгрессных мероприятиях</t>
  </si>
  <si>
    <t xml:space="preserve">Минстрой НСО</t>
  </si>
  <si>
    <t xml:space="preserve">Субсидия ГБУ НСО "Фонд пространственных данных Новосибирской области" на обеспечение градостроительной деятельности, пространственного развития и картографические работы</t>
  </si>
  <si>
    <t xml:space="preserve">ГБУ НСО Геофонд</t>
  </si>
  <si>
    <t xml:space="preserve">Субсидии местным бюджетам на подготовку градостроительной документации и (или) внесение в неё изменений</t>
  </si>
  <si>
    <t xml:space="preserve">Ведомственный проект "Организация комплексного освоения земельных участков в рамках деятельности АО "АРЖС НСО"</t>
  </si>
  <si>
    <r>
      <t xml:space="preserve">Субсидия АО "АРЖС НСО" на финансовое обеспечение реализации инфраструктурных проектов за счет бюджетных кредитов, предоставляемых из федерального бюджета
</t>
    </r>
    <r>
      <rPr>
        <sz val="12"/>
        <rFont val="Arial"/>
      </rPr>
      <t xml:space="preserve">(1 этап инфраструктурного проекта "Территория инновационной и научно-образовательной деятельности "СмартСити-Новосибирск")</t>
    </r>
  </si>
  <si>
    <t xml:space="preserve">АО "АРЖС НСО"</t>
  </si>
  <si>
    <t xml:space="preserve">Ведомственный проект "Инфраструктурное обеспечение территорий для жилищного строительства"</t>
  </si>
  <si>
    <t xml:space="preserve">Субсидии юридическим лицам на финансовое обеспечение реализации инфраструктурных проектов за счет бюджетных кредитов, предоставляемых из федерального бюджета </t>
  </si>
  <si>
    <r>
      <t xml:space="preserve">Финансовое обеспечение реализации инфраструктурных проектов за счет бюджетных кредитов, предоставляемых из федерального бюджета (ООО "СД Карьер")
</t>
    </r>
    <r>
      <rPr>
        <i/>
        <sz val="12"/>
        <rFont val="Arial"/>
      </rPr>
      <t xml:space="preserve">Комплексная застройка квартала "Жилой микрорайон Карьер Мочище", п. Озерный</t>
    </r>
    <r>
      <rPr>
        <sz val="12"/>
        <rFont val="Arial"/>
      </rPr>
      <t xml:space="preserve">
</t>
    </r>
  </si>
  <si>
    <t xml:space="preserve">ООО "СД Карьер"</t>
  </si>
  <si>
    <r>
      <t xml:space="preserve">Финансовое обеспечение реализации инфраструктурных проектов за счет бюджетных кредитов, предоставляемых из федерального бюджета (ООО "Строительные решения. Специализированный застройщик")
</t>
    </r>
    <r>
      <rPr>
        <i/>
        <sz val="12"/>
        <rFont val="Arial"/>
      </rPr>
      <t xml:space="preserve">Скандинавские кварталы</t>
    </r>
  </si>
  <si>
    <t xml:space="preserve">ООО "Строительные решения. Специализированный застройщик"</t>
  </si>
  <si>
    <t xml:space="preserve">Комплекс процессных мероприятий "Государственная поддержка при завершении строительства "проблемных" жилых домов"</t>
  </si>
  <si>
    <t xml:space="preserve">Субсидии местным бюджетам на исполнение обязательств застройщика по вводу многоквартирного дома в эксплуатацию</t>
  </si>
  <si>
    <t xml:space="preserve">Мэрия г. Новосибирска</t>
  </si>
  <si>
    <t xml:space="preserve">Инженерное обеспечение "проблемных" домов</t>
  </si>
  <si>
    <t xml:space="preserve">Благоустройство "проблемных" жилых домов</t>
  </si>
  <si>
    <t xml:space="preserve">Установка лифтового оборудования "проблемных" жилых домов</t>
  </si>
  <si>
    <t xml:space="preserve">Содействие гражданам, пострадавшим от недобросовестных застройщиков</t>
  </si>
  <si>
    <t xml:space="preserve">Комплекс процессных мероприятий "Государственная поддержка отдельных категорий граждан на улучшение жилищных условий"</t>
  </si>
  <si>
    <t xml:space="preserve">Содействие местным бюджетам в обеспечении жилыми помещениями многодетных семей</t>
  </si>
  <si>
    <t xml:space="preserve">Предоставление субсидий отдельным категориям граждан на оплату жилых помещений</t>
  </si>
  <si>
    <t xml:space="preserve">Комплекс процессных мероприятий "Содействие созданию специализированного жилищного фонда на территории Новосибирской области"</t>
  </si>
  <si>
    <t xml:space="preserve">Строительство (приобретение на первичном рынке) служебного жилья</t>
  </si>
  <si>
    <t xml:space="preserve">Оплата расходов местных бюджетов, связанных со строительством специализированного жилищного фонда</t>
  </si>
  <si>
    <t xml:space="preserve">Государственная программа Новосибирской области "Социальная поддержка в Новосибирской области"
Комплекс процессных мероприятий 
"Семья и Дети"</t>
  </si>
  <si>
    <t xml:space="preserve">Субвенции областного бюджета на осуществление строительства жилых помещений с целью оказания государственной поддержки детям-сиротам и детям, оставшимся без попечения родителей</t>
  </si>
  <si>
    <t xml:space="preserve">Субвенции на осуществление отдельных государственных полномочий по обеспечению жильем отдельных категорий граждан, установленных Федеральным законом от 12 января 1995 года № 5-ФЗ "О ветеранах"</t>
  </si>
  <si>
    <t xml:space="preserve">Субвенции на осуществление отдельных государственных полномочий по обеспечению жильем отдельных категорий граждан, предусмотренных Федеральным законом от 24 ноября 1995 года № 181-ФЗ "О социальной защите инвалидов в Российской Федерации"</t>
  </si>
  <si>
    <t xml:space="preserve">Расходы на содержание объектов, введенных в эксплуатацию, до передачи балансодержателю
</t>
  </si>
  <si>
    <t xml:space="preserve">Расходы на погашение судебных расходов 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</si>
</sst>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8">
    <numFmt numFmtId="160" formatCode="_-* #,##0.00_р_._-;\-* #,##0.00_р_._-;_-* &quot;-&quot;??_р_._-;_-@_-"/>
    <numFmt numFmtId="161" formatCode="_-* #,##0.00\ _₽_-;\-* #,##0.00\ _₽_-;_-* &quot;-&quot;??\ _₽_-;_-@_-"/>
    <numFmt numFmtId="162" formatCode="#,##0.0"/>
    <numFmt numFmtId="163" formatCode="#,##0.00000"/>
    <numFmt numFmtId="164" formatCode="0.0%"/>
    <numFmt numFmtId="165" formatCode="0.0"/>
    <numFmt numFmtId="166" formatCode="#,##0.000000"/>
    <numFmt numFmtId="167" formatCode="#,##0.00000000"/>
  </numFmts>
  <fonts count="47">
    <font>
      <sz val="11.000000"/>
      <color theme="1"/>
      <name val="Calibri"/>
      <scheme val="minor"/>
    </font>
    <font>
      <sz val="11.000000"/>
      <name val="Calibri"/>
    </font>
    <font>
      <sz val="11.000000"/>
      <color indexed="65"/>
      <name val="Calibri"/>
    </font>
    <font>
      <sz val="10.000000"/>
      <name val="Arial"/>
    </font>
    <font>
      <sz val="11.000000"/>
      <color indexed="62"/>
      <name val="Calibri"/>
    </font>
    <font>
      <b/>
      <sz val="11.000000"/>
      <color indexed="63"/>
      <name val="Calibri"/>
    </font>
    <font>
      <b/>
      <sz val="11.000000"/>
      <color indexed="52"/>
      <name val="Calibri"/>
    </font>
    <font>
      <b/>
      <sz val="15.000000"/>
      <color indexed="56"/>
      <name val="Calibri"/>
    </font>
    <font>
      <b/>
      <sz val="13.000000"/>
      <color indexed="56"/>
      <name val="Calibri"/>
    </font>
    <font>
      <b/>
      <sz val="11.000000"/>
      <color indexed="56"/>
      <name val="Calibri"/>
    </font>
    <font>
      <b/>
      <sz val="11.000000"/>
      <name val="Calibri"/>
    </font>
    <font>
      <b/>
      <sz val="11.000000"/>
      <color indexed="65"/>
      <name val="Calibri"/>
    </font>
    <font>
      <b/>
      <sz val="18.000000"/>
      <color indexed="56"/>
      <name val="Cambria"/>
    </font>
    <font>
      <sz val="11.000000"/>
      <color indexed="60"/>
      <name val="Calibri"/>
    </font>
    <font>
      <sz val="10.000000"/>
      <name val="Arial Cyr"/>
    </font>
    <font>
      <sz val="10.000000"/>
      <name val="Times New Roman"/>
    </font>
    <font>
      <sz val="8.000000"/>
      <name val="Arial Cyr"/>
    </font>
    <font>
      <sz val="11.000000"/>
      <color indexed="20"/>
      <name val="Calibri"/>
    </font>
    <font>
      <i/>
      <sz val="11.000000"/>
      <color indexed="23"/>
      <name val="Calibri"/>
    </font>
    <font>
      <sz val="11.000000"/>
      <color indexed="52"/>
      <name val="Calibri"/>
    </font>
    <font>
      <sz val="11.000000"/>
      <color indexed="2"/>
      <name val="Calibri"/>
    </font>
    <font>
      <sz val="11.000000"/>
      <color indexed="17"/>
      <name val="Calibri"/>
    </font>
    <font>
      <sz val="14.000000"/>
      <color theme="1"/>
      <name val="Calibri"/>
      <scheme val="minor"/>
    </font>
    <font>
      <b/>
      <sz val="26.000000"/>
      <name val="Arial"/>
    </font>
    <font>
      <b/>
      <sz val="14.000000"/>
      <name val="Arial"/>
    </font>
    <font>
      <sz val="12.000000"/>
      <name val="Arial"/>
    </font>
    <font>
      <sz val="12.000000"/>
      <color theme="0" tint="-0.049958800012207406"/>
      <name val="Calibri"/>
      <scheme val="minor"/>
    </font>
    <font>
      <sz val="12.000000"/>
      <name val="Calibri"/>
      <scheme val="minor"/>
    </font>
    <font>
      <sz val="12.000000"/>
      <color theme="1"/>
      <name val="Calibri"/>
      <scheme val="minor"/>
    </font>
    <font>
      <b/>
      <sz val="16.000000"/>
      <name val="Arial"/>
    </font>
    <font>
      <b/>
      <sz val="12.000000"/>
      <name val="Arial"/>
    </font>
    <font>
      <b/>
      <sz val="14.000000"/>
      <color theme="0" tint="-0.499984740745262"/>
      <name val="Arial"/>
    </font>
    <font>
      <b/>
      <sz val="18.000000"/>
      <name val="Arial"/>
    </font>
    <font>
      <b/>
      <i/>
      <sz val="14.000000"/>
      <name val="Arial"/>
    </font>
    <font>
      <i/>
      <sz val="14.000000"/>
      <name val="Arial"/>
    </font>
    <font>
      <b/>
      <i/>
      <u/>
      <sz val="12.000000"/>
      <name val="Arial"/>
    </font>
    <font>
      <b/>
      <sz val="12.000000"/>
      <name val="Times New Roman"/>
    </font>
    <font>
      <sz val="14.000000"/>
      <color theme="1"/>
      <name val="Times New Roman"/>
    </font>
    <font>
      <sz val="14.000000"/>
      <name val="Arial"/>
    </font>
    <font>
      <b/>
      <sz val="12.000000"/>
      <color theme="1"/>
      <name val="Times New Roman"/>
    </font>
    <font>
      <sz val="12.000000"/>
      <name val="Times New Roman"/>
    </font>
    <font>
      <b/>
      <i/>
      <sz val="12.000000"/>
      <name val="Arial"/>
    </font>
    <font>
      <sz val="18.000000"/>
      <name val="Times New Roman"/>
    </font>
    <font>
      <i/>
      <sz val="12.000000"/>
      <name val="Arial"/>
    </font>
    <font>
      <b/>
      <sz val="14.000000"/>
      <name val="Times New Roman"/>
    </font>
    <font>
      <b/>
      <sz val="11.000000"/>
      <color theme="1"/>
      <name val="Calibri"/>
      <scheme val="minor"/>
    </font>
    <font>
      <sz val="18.000000"/>
      <color theme="1"/>
      <name val="Times New Roman"/>
    </font>
  </fonts>
  <fills count="41">
    <fill>
      <patternFill patternType="none"/>
    </fill>
    <fill>
      <patternFill patternType="gray125"/>
    </fill>
    <fill>
      <patternFill patternType="solid">
        <fgColor indexed="31"/>
        <bgColor indexed="31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42"/>
      </patternFill>
    </fill>
    <fill>
      <patternFill patternType="solid">
        <fgColor indexed="46"/>
        <bgColor indexed="46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44"/>
        <bgColor indexed="44"/>
      </patternFill>
    </fill>
    <fill>
      <patternFill patternType="solid">
        <fgColor indexed="29"/>
        <bgColor indexed="29"/>
      </patternFill>
    </fill>
    <fill>
      <patternFill patternType="solid">
        <fgColor indexed="3"/>
        <bgColor indexed="3"/>
      </patternFill>
    </fill>
    <fill>
      <patternFill patternType="solid">
        <fgColor indexed="51"/>
        <bgColor indexed="51"/>
      </patternFill>
    </fill>
    <fill>
      <patternFill patternType="solid">
        <fgColor indexed="30"/>
        <bgColor indexed="30"/>
      </patternFill>
    </fill>
    <fill>
      <patternFill patternType="solid">
        <fgColor indexed="20"/>
        <bgColor indexed="20"/>
      </patternFill>
    </fill>
    <fill>
      <patternFill patternType="solid">
        <fgColor indexed="49"/>
        <bgColor indexed="49"/>
      </patternFill>
    </fill>
    <fill>
      <patternFill patternType="solid">
        <fgColor indexed="52"/>
        <bgColor indexed="52"/>
      </patternFill>
    </fill>
    <fill>
      <patternFill patternType="solid">
        <fgColor indexed="62"/>
        <bgColor indexed="62"/>
      </patternFill>
    </fill>
    <fill>
      <patternFill patternType="solid">
        <fgColor indexed="2"/>
        <bgColor indexed="2"/>
      </patternFill>
    </fill>
    <fill>
      <patternFill patternType="solid">
        <fgColor indexed="57"/>
        <bgColor indexed="57"/>
      </patternFill>
    </fill>
    <fill>
      <patternFill patternType="solid">
        <fgColor indexed="53"/>
        <bgColor indexed="53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3"/>
        <bgColor indexed="43"/>
      </patternFill>
    </fill>
    <fill>
      <patternFill patternType="solid">
        <fgColor indexed="26"/>
        <bgColor indexed="26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6"/>
        <bgColor theme="6"/>
      </patternFill>
    </fill>
    <fill>
      <patternFill patternType="solid">
        <fgColor theme="6" tint="0.59999389629810485"/>
        <bgColor theme="6" tint="0.59999389629810485"/>
      </patternFill>
    </fill>
    <fill>
      <patternFill patternType="solid">
        <fgColor theme="6" tint="0.39997558519241921"/>
        <bgColor theme="6" tint="0.39997558519241921"/>
      </patternFill>
    </fill>
    <fill>
      <patternFill patternType="solid">
        <fgColor theme="6" tint="0.79998168889431442"/>
        <bgColor theme="6" tint="0.79998168889431442"/>
      </patternFill>
    </fill>
    <fill>
      <patternFill patternType="solid">
        <fgColor theme="5" tint="0.79998168889431442"/>
        <bgColor theme="5" tint="0.79998168889431442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8" tint="0.39997558519241921"/>
        <bgColor theme="8" tint="0.39997558519241921"/>
      </patternFill>
    </fill>
    <fill>
      <patternFill patternType="solid">
        <fgColor theme="8" tint="0.79998168889431442"/>
        <bgColor theme="8" tint="0.79998168889431442"/>
      </patternFill>
    </fill>
    <fill>
      <patternFill patternType="solid">
        <fgColor theme="0"/>
        <bgColor rgb="FFFFCCFF"/>
      </patternFill>
    </fill>
    <fill>
      <patternFill patternType="solid">
        <fgColor theme="0"/>
        <bgColor theme="8" tint="0.79998168889431442"/>
      </patternFill>
    </fill>
    <fill>
      <patternFill patternType="solid">
        <fgColor theme="0"/>
        <bgColor rgb="FFCCFF99"/>
      </patternFill>
    </fill>
    <fill>
      <patternFill patternType="solid">
        <fgColor theme="6" tint="0.79998168889431442"/>
        <bgColor theme="6" tint="0.59999389629810485"/>
      </patternFill>
    </fill>
    <fill>
      <patternFill patternType="solid">
        <fgColor theme="0"/>
        <bgColor theme="6" tint="0.59999389629810485"/>
      </patternFill>
    </fill>
    <fill>
      <patternFill patternType="solid">
        <fgColor theme="0" tint="-0.049958800012207406"/>
        <bgColor theme="0" tint="-0.049958800012207406"/>
      </patternFill>
    </fill>
    <fill>
      <patternFill patternType="solid">
        <fgColor theme="0"/>
        <bgColor indexed="5"/>
      </patternFill>
    </fill>
  </fills>
  <borders count="14">
    <border>
      <left style="none"/>
      <right style="none"/>
      <top style="none"/>
      <bottom style="none"/>
      <diagonal style="none"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 style="none"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 style="none"/>
    </border>
    <border>
      <left style="none"/>
      <right style="none"/>
      <top style="none"/>
      <bottom style="thick">
        <color indexed="62"/>
      </bottom>
      <diagonal style="none"/>
    </border>
    <border>
      <left style="none"/>
      <right style="none"/>
      <top style="none"/>
      <bottom style="thick">
        <color indexed="22"/>
      </bottom>
      <diagonal style="none"/>
    </border>
    <border>
      <left style="none"/>
      <right style="none"/>
      <top style="none"/>
      <bottom style="medium">
        <color indexed="30"/>
      </bottom>
      <diagonal style="none"/>
    </border>
    <border>
      <left style="none"/>
      <right style="none"/>
      <top style="thin">
        <color indexed="62"/>
      </top>
      <bottom style="double">
        <color indexed="62"/>
      </bottom>
      <diagonal style="none"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 style="none"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 style="none"/>
    </border>
    <border>
      <left style="none"/>
      <right style="none"/>
      <top style="none"/>
      <bottom style="double">
        <color indexed="52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</borders>
  <cellStyleXfs count="106">
    <xf fontId="0" fillId="0" borderId="0" numFmtId="0" applyNumberFormat="1" applyFont="1" applyFill="1" applyBorder="1"/>
    <xf fontId="1" fillId="2" borderId="0" numFmtId="0" applyNumberFormat="1" applyFont="1" applyFill="1" applyBorder="1"/>
    <xf fontId="1" fillId="3" borderId="0" numFmtId="0" applyNumberFormat="1" applyFont="1" applyFill="1" applyBorder="1"/>
    <xf fontId="1" fillId="4" borderId="0" numFmtId="0" applyNumberFormat="1" applyFont="1" applyFill="1" applyBorder="1"/>
    <xf fontId="1" fillId="5" borderId="0" numFmtId="0" applyNumberFormat="1" applyFont="1" applyFill="1" applyBorder="1"/>
    <xf fontId="1" fillId="6" borderId="0" numFmtId="0" applyNumberFormat="1" applyFont="1" applyFill="1" applyBorder="1"/>
    <xf fontId="1" fillId="7" borderId="0" numFmtId="0" applyNumberFormat="1" applyFont="1" applyFill="1" applyBorder="1"/>
    <xf fontId="1" fillId="8" borderId="0" numFmtId="0" applyNumberFormat="1" applyFont="1" applyFill="1" applyBorder="1"/>
    <xf fontId="1" fillId="9" borderId="0" numFmtId="0" applyNumberFormat="1" applyFont="1" applyFill="1" applyBorder="1"/>
    <xf fontId="1" fillId="10" borderId="0" numFmtId="0" applyNumberFormat="1" applyFont="1" applyFill="1" applyBorder="1"/>
    <xf fontId="1" fillId="5" borderId="0" numFmtId="0" applyNumberFormat="1" applyFont="1" applyFill="1" applyBorder="1"/>
    <xf fontId="1" fillId="8" borderId="0" numFmtId="0" applyNumberFormat="1" applyFont="1" applyFill="1" applyBorder="1"/>
    <xf fontId="1" fillId="11" borderId="0" numFmtId="0" applyNumberFormat="1" applyFont="1" applyFill="1" applyBorder="1"/>
    <xf fontId="2" fillId="12" borderId="0" numFmtId="0" applyNumberFormat="1" applyFont="1" applyFill="1" applyBorder="1"/>
    <xf fontId="2" fillId="9" borderId="0" numFmtId="0" applyNumberFormat="1" applyFont="1" applyFill="1" applyBorder="1"/>
    <xf fontId="2" fillId="10" borderId="0" numFmtId="0" applyNumberFormat="1" applyFont="1" applyFill="1" applyBorder="1"/>
    <xf fontId="2" fillId="13" borderId="0" numFmtId="0" applyNumberFormat="1" applyFont="1" applyFill="1" applyBorder="1"/>
    <xf fontId="2" fillId="14" borderId="0" numFmtId="0" applyNumberFormat="1" applyFont="1" applyFill="1" applyBorder="1"/>
    <xf fontId="2" fillId="15" borderId="0" numFmtId="0" applyNumberFormat="1" applyFont="1" applyFill="1" applyBorder="1"/>
    <xf fontId="3" fillId="0" borderId="0" numFmtId="0" applyNumberFormat="1" applyFont="1" applyFill="1" applyBorder="1"/>
    <xf fontId="2" fillId="16" borderId="0" numFmtId="0" applyNumberFormat="1" applyFont="1" applyFill="1" applyBorder="1"/>
    <xf fontId="2" fillId="17" borderId="0" numFmtId="0" applyNumberFormat="1" applyFont="1" applyFill="1" applyBorder="1"/>
    <xf fontId="2" fillId="18" borderId="0" numFmtId="0" applyNumberFormat="1" applyFont="1" applyFill="1" applyBorder="1"/>
    <xf fontId="2" fillId="13" borderId="0" numFmtId="0" applyNumberFormat="1" applyFont="1" applyFill="1" applyBorder="1"/>
    <xf fontId="2" fillId="14" borderId="0" numFmtId="0" applyNumberFormat="1" applyFont="1" applyFill="1" applyBorder="1"/>
    <xf fontId="2" fillId="19" borderId="0" numFmtId="0" applyNumberFormat="1" applyFont="1" applyFill="1" applyBorder="1"/>
    <xf fontId="4" fillId="7" borderId="1" numFmtId="0" applyNumberFormat="1" applyFont="1" applyFill="1" applyBorder="1"/>
    <xf fontId="5" fillId="20" borderId="2" numFmtId="0" applyNumberFormat="1" applyFont="1" applyFill="1" applyBorder="1"/>
    <xf fontId="6" fillId="20" borderId="1" numFmtId="0" applyNumberFormat="1" applyFont="1" applyFill="1" applyBorder="1"/>
    <xf fontId="7" fillId="0" borderId="3" numFmtId="0" applyNumberFormat="1" applyFont="1" applyFill="1" applyBorder="1"/>
    <xf fontId="8" fillId="0" borderId="4" numFmtId="0" applyNumberFormat="1" applyFont="1" applyFill="1" applyBorder="1"/>
    <xf fontId="9" fillId="0" borderId="5" numFmtId="0" applyNumberFormat="1" applyFont="1" applyFill="1" applyBorder="1"/>
    <xf fontId="9" fillId="0" borderId="0" numFmtId="0" applyNumberFormat="1" applyFont="1" applyFill="1" applyBorder="1"/>
    <xf fontId="10" fillId="0" borderId="6" numFmtId="0" applyNumberFormat="1" applyFont="1" applyFill="1" applyBorder="1"/>
    <xf fontId="11" fillId="21" borderId="7" numFmtId="0" applyNumberFormat="1" applyFont="1" applyFill="1" applyBorder="1"/>
    <xf fontId="12" fillId="0" borderId="0" numFmtId="0" applyNumberFormat="1" applyFont="1" applyFill="1" applyBorder="1"/>
    <xf fontId="13" fillId="22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1" applyFont="1" applyFill="1" applyBorder="1"/>
    <xf fontId="14" fillId="0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1" applyFont="1" applyFill="1" applyBorder="1"/>
    <xf fontId="14" fillId="0" borderId="0" numFmtId="0" applyNumberFormat="1" applyFont="1" applyFill="1" applyBorder="1"/>
    <xf fontId="15" fillId="0" borderId="0" numFmtId="0" applyNumberFormat="1" applyFont="1" applyFill="1" applyBorder="1"/>
    <xf fontId="16" fillId="0" borderId="0" numFmtId="0" applyNumberFormat="1" applyFont="1" applyFill="1" applyBorder="1"/>
    <xf fontId="15" fillId="0" borderId="0" numFmtId="0" applyNumberFormat="1" applyFont="1" applyFill="1" applyBorder="1"/>
    <xf fontId="15" fillId="0" borderId="0" numFmtId="0" applyNumberFormat="1" applyFont="1" applyFill="1" applyBorder="1"/>
    <xf fontId="15" fillId="0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1" applyFont="1" applyFill="1" applyBorder="1"/>
    <xf fontId="15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14" fillId="0" borderId="0" numFmtId="0" applyNumberFormat="1" applyFont="1" applyFill="1" applyBorder="1"/>
    <xf fontId="14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1" applyFont="1" applyFill="1" applyBorder="1"/>
    <xf fontId="0" fillId="0" borderId="0" numFmtId="0" applyNumberFormat="1" applyFont="1" applyFill="1" applyBorder="1"/>
    <xf fontId="3" fillId="0" borderId="0" numFmtId="0" applyNumberFormat="1" applyFont="1" applyFill="1" applyBorder="1"/>
    <xf fontId="14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1" applyFont="1" applyFill="1" applyBorder="1"/>
    <xf fontId="3" fillId="0" borderId="0" numFmtId="0" applyNumberFormat="1" applyFont="1" applyFill="1" applyBorder="1"/>
    <xf fontId="17" fillId="3" borderId="0" numFmtId="0" applyNumberFormat="1" applyFont="1" applyFill="1" applyBorder="1"/>
    <xf fontId="18" fillId="0" borderId="0" numFmtId="0" applyNumberFormat="1" applyFont="1" applyFill="1" applyBorder="1"/>
    <xf fontId="14" fillId="23" borderId="8" numFmtId="0" applyNumberFormat="1" applyFont="1" applyFill="1" applyBorder="1"/>
    <xf fontId="1" fillId="0" borderId="0" numFmtId="9" applyNumberFormat="1" applyFont="1" applyFill="1" applyBorder="1"/>
    <xf fontId="14" fillId="0" borderId="0" numFmtId="9" applyNumberFormat="1" applyFont="1" applyFill="1" applyBorder="1"/>
    <xf fontId="14" fillId="0" borderId="0" numFmtId="9" applyNumberFormat="1" applyFont="1" applyFill="1" applyBorder="1"/>
    <xf fontId="1" fillId="0" borderId="0" numFmtId="9" applyNumberFormat="1" applyFont="1" applyFill="1" applyBorder="1"/>
    <xf fontId="1" fillId="0" borderId="0" numFmtId="9" applyNumberFormat="1" applyFont="1" applyFill="1" applyBorder="1"/>
    <xf fontId="1" fillId="0" borderId="0" numFmtId="9" applyNumberFormat="1" applyFont="1" applyFill="1" applyBorder="1"/>
    <xf fontId="0" fillId="0" borderId="0" numFmtId="9" applyNumberFormat="1" applyFont="1" applyFill="1" applyBorder="1"/>
    <xf fontId="1" fillId="0" borderId="0" numFmtId="9" applyNumberFormat="1" applyFont="1" applyFill="1" applyBorder="1"/>
    <xf fontId="1" fillId="0" borderId="0" numFmtId="9" applyNumberFormat="1" applyFont="1" applyFill="1" applyBorder="1"/>
    <xf fontId="19" fillId="0" borderId="9" numFmtId="0" applyNumberFormat="1" applyFont="1" applyFill="1" applyBorder="1"/>
    <xf fontId="20" fillId="0" borderId="0" numFmtId="0" applyNumberFormat="1" applyFont="1" applyFill="1" applyBorder="1"/>
    <xf fontId="1" fillId="0" borderId="0" numFmtId="160" applyNumberFormat="1" applyFont="1" applyFill="1" applyBorder="1"/>
    <xf fontId="1" fillId="0" borderId="0" numFmtId="160" applyNumberFormat="1" applyFont="1" applyFill="1" applyBorder="1"/>
    <xf fontId="14" fillId="0" borderId="0" numFmtId="160" applyNumberFormat="1" applyFont="1" applyFill="1" applyBorder="1"/>
    <xf fontId="1" fillId="0" borderId="0" numFmtId="160" applyNumberFormat="1" applyFont="1" applyFill="1" applyBorder="1"/>
    <xf fontId="1" fillId="0" borderId="0" numFmtId="160" applyNumberFormat="1" applyFont="1" applyFill="1" applyBorder="1"/>
    <xf fontId="14" fillId="0" borderId="0" numFmtId="160" applyNumberFormat="1" applyFont="1" applyFill="1" applyBorder="1"/>
    <xf fontId="1" fillId="0" borderId="0" numFmtId="160" applyNumberFormat="1" applyFont="1" applyFill="1" applyBorder="1"/>
    <xf fontId="1" fillId="0" borderId="0" numFmtId="160" applyNumberFormat="1" applyFont="1" applyFill="1" applyBorder="1"/>
    <xf fontId="1" fillId="0" borderId="0" numFmtId="160" applyNumberFormat="1" applyFont="1" applyFill="1" applyBorder="1"/>
    <xf fontId="1" fillId="0" borderId="0" numFmtId="160" applyNumberFormat="1" applyFont="1" applyFill="1" applyBorder="1"/>
    <xf fontId="14" fillId="0" borderId="0" numFmtId="160" applyNumberFormat="1" applyFont="1" applyFill="1" applyBorder="1"/>
    <xf fontId="1" fillId="0" borderId="0" numFmtId="160" applyNumberFormat="1" applyFont="1" applyFill="1" applyBorder="1"/>
    <xf fontId="0" fillId="0" borderId="0" numFmtId="161" applyNumberFormat="1" applyFont="1" applyFill="1" applyBorder="1"/>
    <xf fontId="1" fillId="0" borderId="0" numFmtId="160" applyNumberFormat="1" applyFont="1" applyFill="1" applyBorder="1"/>
    <xf fontId="1" fillId="0" borderId="0" numFmtId="160" applyNumberFormat="1" applyFont="1" applyFill="1" applyBorder="1"/>
    <xf fontId="1" fillId="0" borderId="0" numFmtId="160" applyNumberFormat="1" applyFont="1" applyFill="1" applyBorder="1"/>
    <xf fontId="21" fillId="4" borderId="0" numFmtId="0" applyNumberFormat="1" applyFont="1" applyFill="1" applyBorder="1"/>
  </cellStyleXfs>
  <cellXfs count="225">
    <xf fontId="0" fillId="0" borderId="0" numFmtId="0" xfId="0"/>
    <xf fontId="0" fillId="0" borderId="0" numFmtId="0" xfId="0" applyAlignment="1">
      <alignment vertical="top"/>
    </xf>
    <xf fontId="22" fillId="0" borderId="0" numFmtId="0" xfId="0" applyFont="1" applyAlignment="1">
      <alignment vertical="top"/>
    </xf>
    <xf fontId="0" fillId="0" borderId="0" numFmtId="162" xfId="0" applyNumberFormat="1" applyAlignment="1">
      <alignment vertical="top"/>
    </xf>
    <xf fontId="0" fillId="24" borderId="0" numFmtId="0" xfId="0" applyFill="1" applyAlignment="1">
      <alignment vertical="top"/>
    </xf>
    <xf fontId="23" fillId="0" borderId="0" numFmtId="160" xfId="98" applyNumberFormat="1" applyFont="1" applyAlignment="1">
      <alignment horizontal="center" vertical="top" wrapText="1"/>
    </xf>
    <xf fontId="23" fillId="0" borderId="0" numFmtId="160" xfId="98" applyNumberFormat="1" applyFont="1" applyAlignment="1">
      <alignment vertical="top" wrapText="1"/>
    </xf>
    <xf fontId="24" fillId="0" borderId="0" numFmtId="0" xfId="0" applyFont="1" applyAlignment="1">
      <alignment horizontal="center" vertical="top"/>
    </xf>
    <xf fontId="24" fillId="24" borderId="0" numFmtId="0" xfId="0" applyFont="1" applyFill="1" applyAlignment="1">
      <alignment horizontal="center" vertical="top" wrapText="1"/>
    </xf>
    <xf fontId="25" fillId="24" borderId="0" numFmtId="162" xfId="0" applyNumberFormat="1" applyFont="1" applyFill="1" applyAlignment="1">
      <alignment vertical="top"/>
    </xf>
    <xf fontId="26" fillId="0" borderId="0" numFmtId="0" xfId="0" applyFont="1" applyAlignment="1">
      <alignment vertical="top"/>
    </xf>
    <xf fontId="26" fillId="24" borderId="0" numFmtId="162" xfId="0" applyNumberFormat="1" applyFont="1" applyFill="1" applyAlignment="1">
      <alignment vertical="top"/>
    </xf>
    <xf fontId="27" fillId="24" borderId="0" numFmtId="162" xfId="78" applyNumberFormat="1" applyFont="1" applyFill="1" applyAlignment="1">
      <alignment vertical="top"/>
    </xf>
    <xf fontId="27" fillId="0" borderId="0" numFmtId="162" xfId="0" applyNumberFormat="1" applyFont="1" applyAlignment="1">
      <alignment vertical="top"/>
    </xf>
    <xf fontId="26" fillId="0" borderId="0" numFmtId="163" xfId="0" applyNumberFormat="1" applyFont="1" applyAlignment="1">
      <alignment vertical="top"/>
    </xf>
    <xf fontId="27" fillId="0" borderId="0" numFmtId="163" xfId="0" applyNumberFormat="1" applyFont="1" applyAlignment="1">
      <alignment vertical="top"/>
    </xf>
    <xf fontId="27" fillId="24" borderId="0" numFmtId="164" xfId="78" applyNumberFormat="1" applyFont="1" applyFill="1" applyAlignment="1">
      <alignment vertical="top"/>
    </xf>
    <xf fontId="28" fillId="0" borderId="0" numFmtId="0" xfId="0" applyFont="1" applyAlignment="1">
      <alignment vertical="top"/>
    </xf>
    <xf fontId="29" fillId="0" borderId="10" numFmtId="0" xfId="0" applyFont="1" applyBorder="1" applyAlignment="1">
      <alignment horizontal="center" vertical="center" wrapText="1"/>
    </xf>
    <xf fontId="24" fillId="0" borderId="10" numFmtId="0" xfId="0" applyFont="1" applyBorder="1" applyAlignment="1">
      <alignment horizontal="center" vertical="center" wrapText="1"/>
    </xf>
    <xf fontId="30" fillId="0" borderId="10" numFmtId="0" xfId="0" applyFont="1" applyBorder="1" applyAlignment="1">
      <alignment horizontal="center" vertical="center" wrapText="1"/>
    </xf>
    <xf fontId="24" fillId="0" borderId="10" numFmtId="0" xfId="0" applyFont="1" applyBorder="1" applyAlignment="1">
      <alignment horizontal="center" vertical="center"/>
    </xf>
    <xf fontId="24" fillId="24" borderId="10" numFmtId="0" xfId="0" applyFont="1" applyFill="1" applyBorder="1" applyAlignment="1">
      <alignment horizontal="center" vertical="center"/>
    </xf>
    <xf fontId="24" fillId="0" borderId="10" numFmtId="0" xfId="0" applyFont="1" applyBorder="1" applyAlignment="1">
      <alignment horizontal="center" vertical="top" wrapText="1"/>
    </xf>
    <xf fontId="30" fillId="0" borderId="10" numFmtId="0" xfId="0" applyFont="1" applyBorder="1" applyAlignment="1">
      <alignment horizontal="center" vertical="top" wrapText="1"/>
    </xf>
    <xf fontId="24" fillId="0" borderId="10" numFmtId="162" xfId="0" applyNumberFormat="1" applyFont="1" applyBorder="1" applyAlignment="1">
      <alignment horizontal="center" vertical="top" wrapText="1"/>
    </xf>
    <xf fontId="22" fillId="0" borderId="10" numFmtId="0" xfId="0" applyFont="1" applyBorder="1" applyAlignment="1">
      <alignment horizontal="center" vertical="center" wrapText="1"/>
    </xf>
    <xf fontId="0" fillId="0" borderId="10" numFmtId="0" xfId="0" applyBorder="1" applyAlignment="1">
      <alignment vertical="top"/>
    </xf>
    <xf fontId="31" fillId="0" borderId="10" numFmtId="162" xfId="0" applyNumberFormat="1" applyFont="1" applyBorder="1" applyAlignment="1">
      <alignment horizontal="center" vertical="top" wrapText="1"/>
    </xf>
    <xf fontId="31" fillId="0" borderId="10" numFmtId="163" xfId="0" applyNumberFormat="1" applyFont="1" applyBorder="1" applyAlignment="1">
      <alignment horizontal="center" vertical="top" wrapText="1"/>
    </xf>
    <xf fontId="24" fillId="24" borderId="10" numFmtId="162" xfId="0" applyNumberFormat="1" applyFont="1" applyFill="1" applyBorder="1" applyAlignment="1">
      <alignment horizontal="center" vertical="top" wrapText="1"/>
    </xf>
    <xf fontId="24" fillId="24" borderId="11" numFmtId="164" xfId="78" applyNumberFormat="1" applyFont="1" applyFill="1" applyBorder="1" applyAlignment="1">
      <alignment horizontal="center" vertical="top" wrapText="1"/>
    </xf>
    <xf fontId="24" fillId="24" borderId="12" numFmtId="164" xfId="78" applyNumberFormat="1" applyFont="1" applyFill="1" applyBorder="1" applyAlignment="1">
      <alignment horizontal="center" vertical="top" wrapText="1"/>
    </xf>
    <xf fontId="24" fillId="25" borderId="10" numFmtId="0" xfId="0" applyFont="1" applyFill="1" applyBorder="1" applyAlignment="1">
      <alignment horizontal="center" vertical="top" wrapText="1"/>
    </xf>
    <xf fontId="32" fillId="25" borderId="10" numFmtId="0" xfId="0" applyFont="1" applyFill="1" applyBorder="1" applyAlignment="1">
      <alignment horizontal="center" vertical="top" wrapText="1"/>
    </xf>
    <xf fontId="30" fillId="25" borderId="10" numFmtId="0" xfId="0" applyFont="1" applyFill="1" applyBorder="1" applyAlignment="1">
      <alignment horizontal="center" vertical="top" wrapText="1"/>
    </xf>
    <xf fontId="24" fillId="25" borderId="10" numFmtId="162" xfId="0" applyNumberFormat="1" applyFont="1" applyFill="1" applyBorder="1" applyAlignment="1">
      <alignment horizontal="center" vertical="top" wrapText="1"/>
    </xf>
    <xf fontId="24" fillId="25" borderId="10" numFmtId="163" xfId="0" applyNumberFormat="1" applyFont="1" applyFill="1" applyBorder="1" applyAlignment="1">
      <alignment horizontal="center" vertical="top" wrapText="1"/>
    </xf>
    <xf fontId="24" fillId="25" borderId="10" numFmtId="164" xfId="78" applyNumberFormat="1" applyFont="1" applyFill="1" applyBorder="1" applyAlignment="1">
      <alignment horizontal="center" vertical="top" wrapText="1"/>
    </xf>
    <xf fontId="33" fillId="26" borderId="10" numFmtId="165" xfId="0" applyNumberFormat="1" applyFont="1" applyFill="1" applyBorder="1" applyAlignment="1">
      <alignment horizontal="center" vertical="top"/>
    </xf>
    <xf fontId="24" fillId="26" borderId="10" numFmtId="165" xfId="0" applyNumberFormat="1" applyFont="1" applyFill="1" applyBorder="1" applyAlignment="1">
      <alignment vertical="top" wrapText="1"/>
    </xf>
    <xf fontId="24" fillId="26" borderId="10" numFmtId="162" xfId="0" applyNumberFormat="1" applyFont="1" applyFill="1" applyBorder="1" applyAlignment="1">
      <alignment horizontal="center" vertical="top"/>
    </xf>
    <xf fontId="24" fillId="26" borderId="10" numFmtId="9" xfId="78" applyNumberFormat="1" applyFont="1" applyFill="1" applyBorder="1" applyAlignment="1">
      <alignment horizontal="center" vertical="top"/>
    </xf>
    <xf fontId="24" fillId="27" borderId="10" numFmtId="164" xfId="0" applyNumberFormat="1" applyFont="1" applyFill="1" applyBorder="1" applyAlignment="1">
      <alignment horizontal="center" vertical="top" wrapText="1"/>
    </xf>
    <xf fontId="33" fillId="28" borderId="10" numFmtId="165" xfId="0" applyNumberFormat="1" applyFont="1" applyFill="1" applyBorder="1" applyAlignment="1">
      <alignment horizontal="center" vertical="top"/>
    </xf>
    <xf fontId="24" fillId="28" borderId="10" numFmtId="165" xfId="0" applyNumberFormat="1" applyFont="1" applyFill="1" applyBorder="1" applyAlignment="1">
      <alignment vertical="top" wrapText="1"/>
    </xf>
    <xf fontId="24" fillId="28" borderId="10" numFmtId="162" xfId="0" applyNumberFormat="1" applyFont="1" applyFill="1" applyBorder="1" applyAlignment="1">
      <alignment horizontal="center" vertical="top"/>
    </xf>
    <xf fontId="24" fillId="28" borderId="10" numFmtId="164" xfId="78" applyNumberFormat="1" applyFont="1" applyFill="1" applyBorder="1" applyAlignment="1">
      <alignment horizontal="center" vertical="top"/>
    </xf>
    <xf fontId="24" fillId="28" borderId="11" numFmtId="164" xfId="78" applyNumberFormat="1" applyFont="1" applyFill="1" applyBorder="1" applyAlignment="1">
      <alignment horizontal="center" vertical="top"/>
    </xf>
    <xf fontId="24" fillId="28" borderId="12" numFmtId="164" xfId="78" applyNumberFormat="1" applyFont="1" applyFill="1" applyBorder="1" applyAlignment="1">
      <alignment horizontal="center" vertical="top"/>
    </xf>
    <xf fontId="34" fillId="29" borderId="10" numFmtId="165" xfId="0" applyNumberFormat="1" applyFont="1" applyFill="1" applyBorder="1" applyAlignment="1">
      <alignment horizontal="center" vertical="top"/>
    </xf>
    <xf fontId="24" fillId="29" borderId="10" numFmtId="165" xfId="0" applyNumberFormat="1" applyFont="1" applyFill="1" applyBorder="1" applyAlignment="1">
      <alignment vertical="top" wrapText="1"/>
    </xf>
    <xf fontId="24" fillId="29" borderId="10" numFmtId="162" xfId="0" applyNumberFormat="1" applyFont="1" applyFill="1" applyBorder="1" applyAlignment="1">
      <alignment horizontal="center" vertical="top"/>
    </xf>
    <xf fontId="24" fillId="29" borderId="10" numFmtId="164" xfId="78" applyNumberFormat="1" applyFont="1" applyFill="1" applyBorder="1" applyAlignment="1">
      <alignment horizontal="center" vertical="top"/>
    </xf>
    <xf fontId="24" fillId="29" borderId="10" numFmtId="9" xfId="78" applyNumberFormat="1" applyFont="1" applyFill="1" applyBorder="1" applyAlignment="1">
      <alignment horizontal="center" vertical="top"/>
    </xf>
    <xf fontId="0" fillId="30" borderId="0" numFmtId="0" xfId="0" applyFill="1" applyAlignment="1">
      <alignment vertical="top"/>
    </xf>
    <xf fontId="0" fillId="30" borderId="10" numFmtId="0" xfId="0" applyFill="1" applyBorder="1" applyAlignment="1">
      <alignment vertical="top"/>
    </xf>
    <xf fontId="30" fillId="30" borderId="10" numFmtId="0" xfId="0" applyFont="1" applyFill="1" applyBorder="1" applyAlignment="1">
      <alignment horizontal="center" vertical="top" wrapText="1"/>
    </xf>
    <xf fontId="24" fillId="30" borderId="10" numFmtId="165" xfId="0" applyNumberFormat="1" applyFont="1" applyFill="1" applyBorder="1" applyAlignment="1">
      <alignment vertical="top" wrapText="1"/>
    </xf>
    <xf fontId="24" fillId="30" borderId="10" numFmtId="162" xfId="0" applyNumberFormat="1" applyFont="1" applyFill="1" applyBorder="1" applyAlignment="1">
      <alignment horizontal="center" vertical="top"/>
    </xf>
    <xf fontId="24" fillId="30" borderId="10" numFmtId="9" xfId="78" applyNumberFormat="1" applyFont="1" applyFill="1" applyBorder="1" applyAlignment="1">
      <alignment horizontal="center" vertical="top"/>
    </xf>
    <xf fontId="24" fillId="30" borderId="10" numFmtId="164" xfId="0" applyNumberFormat="1" applyFont="1" applyFill="1" applyBorder="1" applyAlignment="1">
      <alignment horizontal="center" vertical="top" wrapText="1"/>
    </xf>
    <xf fontId="0" fillId="31" borderId="0" numFmtId="0" xfId="0" applyFill="1" applyAlignment="1">
      <alignment vertical="top"/>
    </xf>
    <xf fontId="0" fillId="31" borderId="10" numFmtId="0" xfId="0" applyFill="1" applyBorder="1" applyAlignment="1">
      <alignment vertical="top"/>
    </xf>
    <xf fontId="30" fillId="31" borderId="10" numFmtId="0" xfId="0" applyFont="1" applyFill="1" applyBorder="1" applyAlignment="1">
      <alignment horizontal="center" vertical="top" wrapText="1"/>
    </xf>
    <xf fontId="24" fillId="31" borderId="10" numFmtId="165" xfId="0" applyNumberFormat="1" applyFont="1" applyFill="1" applyBorder="1" applyAlignment="1">
      <alignment vertical="top" wrapText="1"/>
    </xf>
    <xf fontId="24" fillId="31" borderId="10" numFmtId="162" xfId="0" applyNumberFormat="1" applyFont="1" applyFill="1" applyBorder="1" applyAlignment="1">
      <alignment horizontal="center" vertical="top"/>
    </xf>
    <xf fontId="24" fillId="31" borderId="10" numFmtId="9" xfId="78" applyNumberFormat="1" applyFont="1" applyFill="1" applyBorder="1" applyAlignment="1">
      <alignment horizontal="center" vertical="top"/>
    </xf>
    <xf fontId="24" fillId="31" borderId="10" numFmtId="164" xfId="0" applyNumberFormat="1" applyFont="1" applyFill="1" applyBorder="1" applyAlignment="1">
      <alignment horizontal="center" vertical="top" wrapText="1"/>
    </xf>
    <xf fontId="30" fillId="32" borderId="10" numFmtId="1" xfId="0" applyNumberFormat="1" applyFont="1" applyFill="1" applyBorder="1" applyAlignment="1">
      <alignment horizontal="center" vertical="center" wrapText="1"/>
    </xf>
    <xf fontId="30" fillId="32" borderId="10" numFmtId="162" xfId="0" applyNumberFormat="1" applyFont="1" applyFill="1" applyBorder="1" applyAlignment="1">
      <alignment horizontal="center" vertical="top" wrapText="1"/>
    </xf>
    <xf fontId="24" fillId="32" borderId="10" numFmtId="162" xfId="0" applyNumberFormat="1" applyFont="1" applyFill="1" applyBorder="1" applyAlignment="1">
      <alignment horizontal="center" vertical="top"/>
    </xf>
    <xf fontId="24" fillId="32" borderId="10" numFmtId="164" xfId="78" applyNumberFormat="1" applyFont="1" applyFill="1" applyBorder="1" applyAlignment="1">
      <alignment horizontal="center" vertical="top"/>
    </xf>
    <xf fontId="24" fillId="32" borderId="10" numFmtId="9" xfId="78" applyNumberFormat="1" applyFont="1" applyFill="1" applyBorder="1" applyAlignment="1">
      <alignment horizontal="center" vertical="top"/>
    </xf>
    <xf fontId="30" fillId="33" borderId="10" numFmtId="1" xfId="0" applyNumberFormat="1" applyFont="1" applyFill="1" applyBorder="1" applyAlignment="1">
      <alignment horizontal="center" vertical="top" wrapText="1"/>
    </xf>
    <xf fontId="30" fillId="33" borderId="10" numFmtId="3" xfId="0" applyNumberFormat="1" applyFont="1" applyFill="1" applyBorder="1" applyAlignment="1">
      <alignment horizontal="center" vertical="top" wrapText="1"/>
    </xf>
    <xf fontId="24" fillId="33" borderId="10" numFmtId="162" xfId="0" applyNumberFormat="1" applyFont="1" applyFill="1" applyBorder="1" applyAlignment="1">
      <alignment horizontal="center" vertical="top"/>
    </xf>
    <xf fontId="24" fillId="33" borderId="10" numFmtId="164" xfId="78" applyNumberFormat="1" applyFont="1" applyFill="1" applyBorder="1" applyAlignment="1">
      <alignment horizontal="center" vertical="top"/>
    </xf>
    <xf fontId="24" fillId="33" borderId="10" numFmtId="4" xfId="0" applyNumberFormat="1" applyFont="1" applyFill="1" applyBorder="1" applyAlignment="1">
      <alignment horizontal="center" vertical="top" wrapText="1"/>
    </xf>
    <xf fontId="35" fillId="27" borderId="10" numFmtId="1" xfId="0" applyNumberFormat="1" applyFont="1" applyFill="1" applyBorder="1" applyAlignment="1">
      <alignment horizontal="center" vertical="top" wrapText="1"/>
    </xf>
    <xf fontId="30" fillId="27" borderId="10" numFmtId="3" xfId="0" applyNumberFormat="1" applyFont="1" applyFill="1" applyBorder="1" applyAlignment="1">
      <alignment horizontal="center" vertical="top" wrapText="1"/>
    </xf>
    <xf fontId="28" fillId="27" borderId="10" numFmtId="0" xfId="0" applyFont="1" applyFill="1" applyBorder="1" applyAlignment="1">
      <alignment horizontal="center" vertical="top" wrapText="1"/>
    </xf>
    <xf fontId="24" fillId="27" borderId="10" numFmtId="162" xfId="0" applyNumberFormat="1" applyFont="1" applyFill="1" applyBorder="1" applyAlignment="1">
      <alignment horizontal="center" vertical="top"/>
    </xf>
    <xf fontId="24" fillId="27" borderId="10" numFmtId="9" xfId="78" applyNumberFormat="1" applyFont="1" applyFill="1" applyBorder="1" applyAlignment="1">
      <alignment horizontal="center" vertical="top"/>
    </xf>
    <xf fontId="24" fillId="27" borderId="10" numFmtId="4" xfId="0" applyNumberFormat="1" applyFont="1" applyFill="1" applyBorder="1" applyAlignment="1">
      <alignment horizontal="center" vertical="top" wrapText="1"/>
    </xf>
    <xf fontId="36" fillId="34" borderId="10" numFmtId="0" xfId="0" applyFont="1" applyFill="1" applyBorder="1" applyAlignment="1" applyProtection="1">
      <alignment horizontal="center" vertical="center"/>
      <protection locked="0"/>
    </xf>
    <xf fontId="25" fillId="0" borderId="10" numFmtId="1" xfId="0" applyNumberFormat="1" applyFont="1" applyBorder="1" applyAlignment="1">
      <alignment horizontal="left" vertical="top" wrapText="1"/>
    </xf>
    <xf fontId="30" fillId="35" borderId="10" numFmtId="3" xfId="0" applyNumberFormat="1" applyFont="1" applyFill="1" applyBorder="1" applyAlignment="1">
      <alignment horizontal="center" vertical="top" wrapText="1"/>
    </xf>
    <xf fontId="28" fillId="0" borderId="10" numFmtId="0" xfId="0" applyFont="1" applyBorder="1" applyAlignment="1">
      <alignment horizontal="center" vertical="top" wrapText="1"/>
    </xf>
    <xf fontId="24" fillId="0" borderId="10" numFmtId="162" xfId="0" applyNumberFormat="1" applyFont="1" applyBorder="1" applyAlignment="1">
      <alignment horizontal="center" vertical="top"/>
    </xf>
    <xf fontId="24" fillId="24" borderId="10" numFmtId="162" xfId="0" applyNumberFormat="1" applyFont="1" applyFill="1" applyBorder="1" applyAlignment="1">
      <alignment horizontal="center" vertical="top"/>
    </xf>
    <xf fontId="24" fillId="0" borderId="10" numFmtId="9" xfId="78" applyNumberFormat="1" applyFont="1" applyBorder="1" applyAlignment="1">
      <alignment horizontal="center" vertical="top"/>
    </xf>
    <xf fontId="37" fillId="0" borderId="10" numFmtId="0" xfId="0" applyFont="1" applyBorder="1" applyAlignment="1">
      <alignment horizontal="center" vertical="top" wrapText="1"/>
    </xf>
    <xf fontId="25" fillId="33" borderId="10" numFmtId="0" xfId="0" applyFont="1" applyFill="1" applyBorder="1" applyAlignment="1">
      <alignment horizontal="center" vertical="top" wrapText="1"/>
    </xf>
    <xf fontId="38" fillId="0" borderId="10" numFmtId="0" xfId="0" applyFont="1" applyBorder="1" applyAlignment="1">
      <alignment horizontal="center" vertical="top"/>
    </xf>
    <xf fontId="24" fillId="0" borderId="10" numFmtId="163" xfId="0" applyNumberFormat="1" applyFont="1" applyBorder="1" applyAlignment="1">
      <alignment horizontal="center" vertical="top"/>
    </xf>
    <xf fontId="38" fillId="0" borderId="10" numFmtId="3" xfId="0" applyNumberFormat="1" applyFont="1" applyBorder="1" applyAlignment="1">
      <alignment horizontal="center" vertical="top" wrapText="1"/>
    </xf>
    <xf fontId="30" fillId="27" borderId="10" numFmtId="3" xfId="0" applyNumberFormat="1" applyFont="1" applyFill="1" applyBorder="1" applyAlignment="1">
      <alignment horizontal="center" vertical="top"/>
    </xf>
    <xf fontId="38" fillId="27" borderId="10" numFmtId="162" xfId="0" applyNumberFormat="1" applyFont="1" applyFill="1" applyBorder="1" applyAlignment="1">
      <alignment horizontal="center" vertical="top"/>
    </xf>
    <xf fontId="39" fillId="36" borderId="10" numFmtId="0" xfId="0" applyFont="1" applyFill="1" applyBorder="1" applyAlignment="1">
      <alignment horizontal="center" vertical="center"/>
    </xf>
    <xf fontId="24" fillId="0" borderId="10" numFmtId="164" xfId="78" applyNumberFormat="1" applyFont="1" applyBorder="1" applyAlignment="1">
      <alignment horizontal="center" vertical="top"/>
    </xf>
    <xf fontId="0" fillId="24" borderId="10" numFmtId="0" xfId="0" applyFill="1" applyBorder="1" applyAlignment="1">
      <alignment vertical="top"/>
    </xf>
    <xf fontId="30" fillId="32" borderId="10" numFmtId="1" xfId="0" applyNumberFormat="1" applyFont="1" applyFill="1" applyBorder="1" applyAlignment="1">
      <alignment horizontal="center" vertical="top" wrapText="1"/>
    </xf>
    <xf fontId="24" fillId="32" borderId="10" numFmtId="1" xfId="0" applyNumberFormat="1" applyFont="1" applyFill="1" applyBorder="1" applyAlignment="1">
      <alignment horizontal="center" vertical="top" wrapText="1"/>
    </xf>
    <xf fontId="24" fillId="32" borderId="10" numFmtId="162" xfId="0" applyNumberFormat="1" applyFont="1" applyFill="1" applyBorder="1" applyAlignment="1">
      <alignment horizontal="center" vertical="top" wrapText="1"/>
    </xf>
    <xf fontId="24" fillId="32" borderId="10" numFmtId="164" xfId="78" applyNumberFormat="1" applyFont="1" applyFill="1" applyBorder="1" applyAlignment="1">
      <alignment horizontal="center" vertical="top" wrapText="1"/>
    </xf>
    <xf fontId="24" fillId="32" borderId="10" numFmtId="9" xfId="78" applyNumberFormat="1" applyFont="1" applyFill="1" applyBorder="1" applyAlignment="1">
      <alignment horizontal="center" vertical="top" wrapText="1"/>
    </xf>
    <xf fontId="38" fillId="32" borderId="10" numFmtId="9" xfId="78" applyNumberFormat="1" applyFont="1" applyFill="1" applyBorder="1" applyAlignment="1">
      <alignment horizontal="center" vertical="top" wrapText="1"/>
    </xf>
    <xf fontId="24" fillId="33" borderId="10" numFmtId="162" xfId="0" applyNumberFormat="1" applyFont="1" applyFill="1" applyBorder="1" applyAlignment="1">
      <alignment horizontal="center" vertical="top" wrapText="1"/>
    </xf>
    <xf fontId="24" fillId="33" borderId="10" numFmtId="9" xfId="78" applyNumberFormat="1" applyFont="1" applyFill="1" applyBorder="1" applyAlignment="1">
      <alignment horizontal="center" vertical="top"/>
    </xf>
    <xf fontId="38" fillId="33" borderId="10" numFmtId="4" xfId="0" applyNumberFormat="1" applyFont="1" applyFill="1" applyBorder="1" applyAlignment="1">
      <alignment horizontal="center" vertical="top" wrapText="1"/>
    </xf>
    <xf fontId="24" fillId="27" borderId="10" numFmtId="3" xfId="0" applyNumberFormat="1" applyFont="1" applyFill="1" applyBorder="1" applyAlignment="1">
      <alignment horizontal="center" vertical="top" wrapText="1"/>
    </xf>
    <xf fontId="38" fillId="27" borderId="10" numFmtId="4" xfId="0" applyNumberFormat="1" applyFont="1" applyFill="1" applyBorder="1" applyAlignment="1">
      <alignment horizontal="center" vertical="top" wrapText="1"/>
    </xf>
    <xf fontId="30" fillId="24" borderId="10" numFmtId="3" xfId="0" applyNumberFormat="1" applyFont="1" applyFill="1" applyBorder="1" applyAlignment="1">
      <alignment horizontal="center" vertical="top" wrapText="1"/>
    </xf>
    <xf fontId="28" fillId="0" borderId="10" numFmtId="165" xfId="0" applyNumberFormat="1" applyFont="1" applyBorder="1" applyAlignment="1">
      <alignment horizontal="center" vertical="top" wrapText="1"/>
    </xf>
    <xf fontId="0" fillId="0" borderId="10" numFmtId="162" xfId="0" applyNumberFormat="1" applyBorder="1" applyAlignment="1">
      <alignment vertical="top"/>
    </xf>
    <xf fontId="25" fillId="24" borderId="10" numFmtId="3" xfId="0" applyNumberFormat="1" applyFont="1" applyFill="1" applyBorder="1" applyAlignment="1">
      <alignment horizontal="center" vertical="top" wrapText="1"/>
    </xf>
    <xf fontId="40" fillId="24" borderId="10" numFmtId="0" xfId="0" applyFont="1" applyFill="1" applyBorder="1" applyAlignment="1">
      <alignment horizontal="center" vertical="top" wrapText="1"/>
    </xf>
    <xf fontId="41" fillId="30" borderId="10" numFmtId="1" xfId="0" applyNumberFormat="1" applyFont="1" applyFill="1" applyBorder="1" applyAlignment="1">
      <alignment horizontal="center" vertical="top" wrapText="1"/>
    </xf>
    <xf fontId="24" fillId="30" borderId="10" numFmtId="3" xfId="0" applyNumberFormat="1" applyFont="1" applyFill="1" applyBorder="1" applyAlignment="1">
      <alignment horizontal="center" vertical="top" wrapText="1"/>
    </xf>
    <xf fontId="28" fillId="30" borderId="10" numFmtId="0" xfId="0" applyFont="1" applyFill="1" applyBorder="1" applyAlignment="1">
      <alignment horizontal="center" vertical="top" wrapText="1"/>
    </xf>
    <xf fontId="38" fillId="30" borderId="10" numFmtId="4" xfId="0" applyNumberFormat="1" applyFont="1" applyFill="1" applyBorder="1" applyAlignment="1">
      <alignment horizontal="center" vertical="top" wrapText="1"/>
    </xf>
    <xf fontId="35" fillId="29" borderId="10" numFmtId="1" xfId="0" applyNumberFormat="1" applyFont="1" applyFill="1" applyBorder="1" applyAlignment="1">
      <alignment horizontal="center" vertical="top" wrapText="1"/>
    </xf>
    <xf fontId="24" fillId="29" borderId="10" numFmtId="3" xfId="0" applyNumberFormat="1" applyFont="1" applyFill="1" applyBorder="1" applyAlignment="1">
      <alignment horizontal="center" vertical="top"/>
    </xf>
    <xf fontId="25" fillId="24" borderId="10" numFmtId="1" xfId="0" applyNumberFormat="1" applyFont="1" applyFill="1" applyBorder="1" applyAlignment="1">
      <alignment horizontal="left" vertical="top" wrapText="1"/>
    </xf>
    <xf fontId="35" fillId="37" borderId="10" numFmtId="1" xfId="0" applyNumberFormat="1" applyFont="1" applyFill="1" applyBorder="1" applyAlignment="1">
      <alignment horizontal="center" vertical="top" wrapText="1"/>
    </xf>
    <xf fontId="22" fillId="37" borderId="10" numFmtId="0" xfId="0" applyFont="1" applyFill="1" applyBorder="1" applyAlignment="1">
      <alignment vertical="top"/>
    </xf>
    <xf fontId="24" fillId="37" borderId="10" numFmtId="162" xfId="0" applyNumberFormat="1" applyFont="1" applyFill="1" applyBorder="1" applyAlignment="1">
      <alignment horizontal="center" vertical="top"/>
    </xf>
    <xf fontId="24" fillId="37" borderId="10" numFmtId="9" xfId="78" applyNumberFormat="1" applyFont="1" applyFill="1" applyBorder="1" applyAlignment="1">
      <alignment horizontal="center" vertical="top" wrapText="1"/>
    </xf>
    <xf fontId="36" fillId="36" borderId="10" numFmtId="0" xfId="0" applyFont="1" applyFill="1" applyBorder="1" applyAlignment="1" applyProtection="1">
      <alignment horizontal="center" vertical="center"/>
      <protection locked="0"/>
    </xf>
    <xf fontId="22" fillId="27" borderId="10" numFmtId="0" xfId="0" applyFont="1" applyFill="1" applyBorder="1" applyAlignment="1">
      <alignment vertical="top"/>
    </xf>
    <xf fontId="24" fillId="27" borderId="10" numFmtId="9" xfId="78" applyNumberFormat="1" applyFont="1" applyFill="1" applyBorder="1" applyAlignment="1">
      <alignment horizontal="center" vertical="top" wrapText="1"/>
    </xf>
    <xf fontId="38" fillId="27" borderId="10" numFmtId="9" xfId="78" applyNumberFormat="1" applyFont="1" applyFill="1" applyBorder="1" applyAlignment="1">
      <alignment horizontal="center" vertical="top" wrapText="1"/>
    </xf>
    <xf fontId="42" fillId="33" borderId="10" numFmtId="4" xfId="0" applyNumberFormat="1" applyFont="1" applyFill="1" applyBorder="1" applyAlignment="1">
      <alignment horizontal="center" vertical="top" wrapText="1"/>
    </xf>
    <xf fontId="24" fillId="27" borderId="10" numFmtId="162" xfId="0" applyNumberFormat="1" applyFont="1" applyFill="1" applyBorder="1" applyAlignment="1">
      <alignment horizontal="center" vertical="top" wrapText="1"/>
    </xf>
    <xf fontId="42" fillId="27" borderId="10" numFmtId="4" xfId="0" applyNumberFormat="1" applyFont="1" applyFill="1" applyBorder="1" applyAlignment="1">
      <alignment horizontal="center" vertical="top" wrapText="1"/>
    </xf>
    <xf fontId="28" fillId="0" borderId="10" numFmtId="2" xfId="0" applyNumberFormat="1" applyFont="1" applyBorder="1" applyAlignment="1">
      <alignment horizontal="center" vertical="top" wrapText="1"/>
    </xf>
    <xf fontId="38" fillId="0" borderId="10" numFmtId="3" xfId="0" applyNumberFormat="1" applyFont="1" applyBorder="1" applyAlignment="1">
      <alignment horizontal="center" vertical="top"/>
    </xf>
    <xf fontId="22" fillId="27" borderId="10" numFmtId="0" xfId="0" applyFont="1" applyFill="1" applyBorder="1" applyAlignment="1">
      <alignment horizontal="center" vertical="top" wrapText="1"/>
    </xf>
    <xf fontId="28" fillId="27" borderId="10" numFmtId="2" xfId="0" applyNumberFormat="1" applyFont="1" applyFill="1" applyBorder="1" applyAlignment="1">
      <alignment horizontal="center" vertical="top" wrapText="1"/>
    </xf>
    <xf fontId="25" fillId="0" borderId="10" numFmtId="3" xfId="0" applyNumberFormat="1" applyFont="1" applyBorder="1" applyAlignment="1">
      <alignment horizontal="center" vertical="top" wrapText="1"/>
    </xf>
    <xf fontId="38" fillId="0" borderId="10" numFmtId="0" xfId="0" applyFont="1" applyBorder="1" applyAlignment="1">
      <alignment horizontal="center" vertical="top" wrapText="1"/>
    </xf>
    <xf fontId="24" fillId="32" borderId="10" numFmtId="162" xfId="78" applyNumberFormat="1" applyFont="1" applyFill="1" applyBorder="1" applyAlignment="1">
      <alignment horizontal="center" vertical="top" wrapText="1"/>
    </xf>
    <xf fontId="30" fillId="24" borderId="10" numFmtId="162" xfId="0" applyNumberFormat="1" applyFont="1" applyFill="1" applyBorder="1" applyAlignment="1">
      <alignment horizontal="center" vertical="top" wrapText="1"/>
    </xf>
    <xf fontId="25" fillId="0" borderId="10" numFmtId="3" xfId="0" applyNumberFormat="1" applyFont="1" applyBorder="1" applyAlignment="1">
      <alignment horizontal="center" vertical="top"/>
    </xf>
    <xf fontId="25" fillId="24" borderId="10" numFmtId="162" xfId="0" applyNumberFormat="1" applyFont="1" applyFill="1" applyBorder="1" applyAlignment="1">
      <alignment horizontal="center" vertical="top" wrapText="1"/>
    </xf>
    <xf fontId="24" fillId="32" borderId="10" numFmtId="9" xfId="0" applyNumberFormat="1" applyFont="1" applyFill="1" applyBorder="1" applyAlignment="1">
      <alignment horizontal="center" vertical="top" wrapText="1"/>
    </xf>
    <xf fontId="38" fillId="32" borderId="10" numFmtId="4" xfId="0" applyNumberFormat="1" applyFont="1" applyFill="1" applyBorder="1" applyAlignment="1">
      <alignment horizontal="center" vertical="top" wrapText="1"/>
    </xf>
    <xf fontId="0" fillId="33" borderId="0" numFmtId="0" xfId="0" applyFill="1" applyAlignment="1">
      <alignment vertical="top"/>
    </xf>
    <xf fontId="30" fillId="33" borderId="10" numFmtId="0" xfId="0" applyFont="1" applyFill="1" applyBorder="1" applyAlignment="1">
      <alignment horizontal="center" vertical="top" wrapText="1"/>
    </xf>
    <xf fontId="24" fillId="33" borderId="10" numFmtId="49" xfId="0" applyNumberFormat="1" applyFont="1" applyFill="1" applyBorder="1" applyAlignment="1">
      <alignment horizontal="center" vertical="top" wrapText="1"/>
    </xf>
    <xf fontId="25" fillId="33" borderId="10" numFmtId="49" xfId="0" applyNumberFormat="1" applyFont="1" applyFill="1" applyBorder="1" applyAlignment="1">
      <alignment horizontal="center" vertical="top" wrapText="1"/>
    </xf>
    <xf fontId="24" fillId="33" borderId="10" numFmtId="162" xfId="90" applyNumberFormat="1" applyFont="1" applyFill="1" applyBorder="1" applyAlignment="1">
      <alignment horizontal="center" vertical="top"/>
    </xf>
    <xf fontId="25" fillId="24" borderId="10" numFmtId="0" xfId="0" applyFont="1" applyFill="1" applyBorder="1" applyAlignment="1">
      <alignment horizontal="left" vertical="top" wrapText="1"/>
    </xf>
    <xf fontId="25" fillId="24" borderId="10" numFmtId="49" xfId="0" applyNumberFormat="1" applyFont="1" applyFill="1" applyBorder="1" applyAlignment="1">
      <alignment horizontal="center" vertical="top" wrapText="1"/>
    </xf>
    <xf fontId="28" fillId="24" borderId="10" numFmtId="0" xfId="0" applyFont="1" applyFill="1" applyBorder="1" applyAlignment="1">
      <alignment horizontal="center" vertical="top" wrapText="1"/>
    </xf>
    <xf fontId="24" fillId="24" borderId="10" numFmtId="162" xfId="90" applyNumberFormat="1" applyFont="1" applyFill="1" applyBorder="1" applyAlignment="1">
      <alignment horizontal="center" vertical="top"/>
    </xf>
    <xf fontId="24" fillId="0" borderId="10" numFmtId="162" xfId="90" applyNumberFormat="1" applyFont="1" applyBorder="1" applyAlignment="1">
      <alignment horizontal="center" vertical="top"/>
    </xf>
    <xf fontId="24" fillId="24" borderId="10" numFmtId="162" xfId="93" applyNumberFormat="1" applyFont="1" applyFill="1" applyBorder="1" applyAlignment="1">
      <alignment horizontal="center" vertical="top"/>
    </xf>
    <xf fontId="38" fillId="33" borderId="10" numFmtId="9" xfId="78" applyNumberFormat="1" applyFont="1" applyFill="1" applyBorder="1" applyAlignment="1">
      <alignment horizontal="center" vertical="top" wrapText="1"/>
    </xf>
    <xf fontId="35" fillId="38" borderId="10" numFmtId="1" xfId="0" applyNumberFormat="1" applyFont="1" applyFill="1" applyBorder="1" applyAlignment="1">
      <alignment horizontal="center" vertical="top" wrapText="1"/>
    </xf>
    <xf fontId="40" fillId="24" borderId="10" numFmtId="0" xfId="102" applyFont="1" applyFill="1" applyBorder="1" applyAlignment="1">
      <alignment horizontal="center" vertical="top" wrapText="1"/>
    </xf>
    <xf fontId="24" fillId="24" borderId="10" numFmtId="49" xfId="0" applyNumberFormat="1" applyFont="1" applyFill="1" applyBorder="1" applyAlignment="1">
      <alignment horizontal="center" vertical="top" wrapText="1"/>
    </xf>
    <xf fontId="24" fillId="24" borderId="10" numFmtId="9" xfId="78" applyNumberFormat="1" applyFont="1" applyFill="1" applyBorder="1" applyAlignment="1">
      <alignment horizontal="center" vertical="top"/>
    </xf>
    <xf fontId="24" fillId="24" borderId="13" numFmtId="162" xfId="93" applyNumberFormat="1" applyFont="1" applyFill="1" applyBorder="1" applyAlignment="1">
      <alignment horizontal="center" vertical="top"/>
    </xf>
    <xf fontId="30" fillId="33" borderId="10" numFmtId="0" xfId="0" applyFont="1" applyFill="1" applyBorder="1" applyAlignment="1">
      <alignment horizontal="left" vertical="top" wrapText="1"/>
    </xf>
    <xf fontId="24" fillId="33" borderId="10" numFmtId="162" xfId="93" applyNumberFormat="1" applyFont="1" applyFill="1" applyBorder="1" applyAlignment="1">
      <alignment horizontal="center" vertical="top"/>
    </xf>
    <xf fontId="42" fillId="33" borderId="10" numFmtId="4" xfId="90" applyNumberFormat="1" applyFont="1" applyFill="1" applyBorder="1" applyAlignment="1">
      <alignment horizontal="left" vertical="top" wrapText="1"/>
    </xf>
    <xf fontId="30" fillId="39" borderId="10" numFmtId="1" xfId="0" applyNumberFormat="1" applyFont="1" applyFill="1" applyBorder="1" applyAlignment="1">
      <alignment horizontal="center" vertical="top" wrapText="1"/>
    </xf>
    <xf fontId="38" fillId="39" borderId="10" numFmtId="162" xfId="0" applyNumberFormat="1" applyFont="1" applyFill="1" applyBorder="1" applyAlignment="1">
      <alignment horizontal="center" vertical="top" wrapText="1"/>
    </xf>
    <xf fontId="38" fillId="39" borderId="10" numFmtId="162" xfId="0" applyNumberFormat="1" applyFont="1" applyFill="1" applyBorder="1" applyAlignment="1">
      <alignment horizontal="center" vertical="top"/>
    </xf>
    <xf fontId="24" fillId="39" borderId="10" numFmtId="162" xfId="0" applyNumberFormat="1" applyFont="1" applyFill="1" applyBorder="1" applyAlignment="1">
      <alignment horizontal="center" vertical="top"/>
    </xf>
    <xf fontId="24" fillId="39" borderId="10" numFmtId="9" xfId="78" applyNumberFormat="1" applyFont="1" applyFill="1" applyBorder="1" applyAlignment="1">
      <alignment horizontal="center" vertical="top"/>
    </xf>
    <xf fontId="42" fillId="39" borderId="10" numFmtId="4" xfId="0" applyNumberFormat="1" applyFont="1" applyFill="1" applyBorder="1" applyAlignment="1">
      <alignment horizontal="center" vertical="top" wrapText="1"/>
    </xf>
    <xf fontId="30" fillId="0" borderId="10" numFmtId="165" xfId="0" applyNumberFormat="1" applyFont="1" applyBorder="1" applyAlignment="1">
      <alignment horizontal="right" vertical="top" wrapText="1"/>
    </xf>
    <xf fontId="42" fillId="24" borderId="10" numFmtId="4" xfId="0" applyNumberFormat="1" applyFont="1" applyFill="1" applyBorder="1" applyAlignment="1">
      <alignment horizontal="center" vertical="top" wrapText="1"/>
    </xf>
    <xf fontId="30" fillId="24" borderId="10" numFmtId="165" xfId="0" applyNumberFormat="1" applyFont="1" applyFill="1" applyBorder="1" applyAlignment="1">
      <alignment horizontal="right" vertical="top" wrapText="1"/>
    </xf>
    <xf fontId="25" fillId="0" borderId="10" numFmtId="165" xfId="0" applyNumberFormat="1" applyFont="1" applyBorder="1" applyAlignment="1">
      <alignment horizontal="right" vertical="top" wrapText="1"/>
    </xf>
    <xf fontId="38" fillId="24" borderId="10" numFmtId="162" xfId="0" applyNumberFormat="1" applyFont="1" applyFill="1" applyBorder="1" applyAlignment="1">
      <alignment horizontal="center" vertical="top"/>
    </xf>
    <xf fontId="25" fillId="24" borderId="10" numFmtId="0" xfId="41" applyFont="1" applyFill="1" applyBorder="1" applyAlignment="1" applyProtection="1">
      <alignment horizontal="right" vertical="top" wrapText="1"/>
    </xf>
    <xf fontId="30" fillId="39" borderId="10" numFmtId="165" xfId="0" applyNumberFormat="1" applyFont="1" applyFill="1" applyBorder="1" applyAlignment="1">
      <alignment horizontal="center" vertical="top" wrapText="1"/>
    </xf>
    <xf fontId="38" fillId="39" borderId="10" numFmtId="0" xfId="0" applyFont="1" applyFill="1" applyBorder="1" applyAlignment="1">
      <alignment horizontal="center" vertical="top" wrapText="1"/>
    </xf>
    <xf fontId="24" fillId="39" borderId="10" numFmtId="162" xfId="91" applyNumberFormat="1" applyFont="1" applyFill="1" applyBorder="1" applyAlignment="1">
      <alignment horizontal="center" vertical="top"/>
    </xf>
    <xf fontId="42" fillId="39" borderId="10" numFmtId="4" xfId="91" applyNumberFormat="1" applyFont="1" applyFill="1" applyBorder="1" applyAlignment="1">
      <alignment horizontal="left" vertical="top" wrapText="1"/>
    </xf>
    <xf fontId="25" fillId="0" borderId="10" numFmtId="165" xfId="0" applyNumberFormat="1" applyFont="1" applyBorder="1" applyAlignment="1">
      <alignment horizontal="left" vertical="top" wrapText="1"/>
    </xf>
    <xf fontId="38" fillId="24" borderId="10" numFmtId="0" xfId="0" applyFont="1" applyFill="1" applyBorder="1" applyAlignment="1">
      <alignment horizontal="center" vertical="top" wrapText="1"/>
    </xf>
    <xf fontId="25" fillId="0" borderId="10" numFmtId="0" xfId="0" applyFont="1" applyBorder="1" applyAlignment="1">
      <alignment horizontal="center" vertical="top" wrapText="1"/>
    </xf>
    <xf fontId="24" fillId="24" borderId="10" numFmtId="162" xfId="91" applyNumberFormat="1" applyFont="1" applyFill="1" applyBorder="1" applyAlignment="1">
      <alignment horizontal="center" vertical="top"/>
    </xf>
    <xf fontId="42" fillId="24" borderId="10" numFmtId="4" xfId="91" applyNumberFormat="1" applyFont="1" applyFill="1" applyBorder="1" applyAlignment="1">
      <alignment horizontal="left" vertical="top" wrapText="1"/>
    </xf>
    <xf fontId="42" fillId="24" borderId="10" numFmtId="4" xfId="0" applyNumberFormat="1" applyFont="1" applyFill="1" applyBorder="1" applyAlignment="1">
      <alignment horizontal="left" vertical="top" wrapText="1"/>
    </xf>
    <xf fontId="25" fillId="24" borderId="10" numFmtId="165" xfId="0" applyNumberFormat="1" applyFont="1" applyFill="1" applyBorder="1" applyAlignment="1">
      <alignment horizontal="left" vertical="top" wrapText="1"/>
    </xf>
    <xf fontId="25" fillId="24" borderId="10" numFmtId="165" xfId="0" applyNumberFormat="1" applyFont="1" applyFill="1" applyBorder="1" applyAlignment="1">
      <alignment horizontal="right" vertical="top" wrapText="1"/>
    </xf>
    <xf fontId="42" fillId="39" borderId="10" numFmtId="4" xfId="0" applyNumberFormat="1" applyFont="1" applyFill="1" applyBorder="1" applyAlignment="1">
      <alignment horizontal="left" vertical="top" wrapText="1"/>
    </xf>
    <xf fontId="30" fillId="24" borderId="10" numFmtId="1" xfId="0" applyNumberFormat="1" applyFont="1" applyFill="1" applyBorder="1" applyAlignment="1">
      <alignment horizontal="center" vertical="top" wrapText="1"/>
    </xf>
    <xf fontId="24" fillId="39" borderId="10" numFmtId="162" xfId="0" applyNumberFormat="1" applyFont="1" applyFill="1" applyBorder="1" applyAlignment="1">
      <alignment horizontal="center" vertical="top" wrapText="1"/>
    </xf>
    <xf fontId="28" fillId="39" borderId="10" numFmtId="2" xfId="0" applyNumberFormat="1" applyFont="1" applyFill="1" applyBorder="1" applyAlignment="1">
      <alignment horizontal="center" vertical="top" wrapText="1"/>
    </xf>
    <xf fontId="25" fillId="24" borderId="10" numFmtId="1" xfId="0" applyNumberFormat="1" applyFont="1" applyFill="1" applyBorder="1" applyAlignment="1">
      <alignment horizontal="center" vertical="top" wrapText="1"/>
    </xf>
    <xf fontId="25" fillId="24" borderId="10" numFmtId="165" xfId="0" applyNumberFormat="1" applyFont="1" applyFill="1" applyBorder="1" applyAlignment="1">
      <alignment horizontal="center" vertical="top" wrapText="1"/>
    </xf>
    <xf fontId="43" fillId="24" borderId="10" numFmtId="165" xfId="0" applyNumberFormat="1" applyFont="1" applyFill="1" applyBorder="1" applyAlignment="1">
      <alignment horizontal="right" vertical="top" wrapText="1"/>
    </xf>
    <xf fontId="24" fillId="24" borderId="10" numFmtId="163" xfId="0" applyNumberFormat="1" applyFont="1" applyFill="1" applyBorder="1" applyAlignment="1">
      <alignment horizontal="center" vertical="top"/>
    </xf>
    <xf fontId="30" fillId="24" borderId="10" numFmtId="165" xfId="0" applyNumberFormat="1" applyFont="1" applyFill="1" applyBorder="1" applyAlignment="1">
      <alignment horizontal="center" vertical="top" wrapText="1"/>
    </xf>
    <xf fontId="44" fillId="24" borderId="10" numFmtId="4" xfId="0" applyNumberFormat="1" applyFont="1" applyFill="1" applyBorder="1" applyAlignment="1">
      <alignment horizontal="left" vertical="top" wrapText="1"/>
    </xf>
    <xf fontId="30" fillId="24" borderId="10" numFmtId="0" xfId="41" applyFont="1" applyFill="1" applyBorder="1" applyAlignment="1" applyProtection="1">
      <alignment horizontal="center" vertical="top" wrapText="1"/>
    </xf>
    <xf fontId="30" fillId="39" borderId="10" numFmtId="0" xfId="0" applyFont="1" applyFill="1" applyBorder="1" applyAlignment="1">
      <alignment horizontal="center" vertical="top" wrapText="1"/>
    </xf>
    <xf fontId="30" fillId="24" borderId="10" numFmtId="0" xfId="0" applyFont="1" applyFill="1" applyBorder="1" applyAlignment="1">
      <alignment horizontal="center" vertical="top" wrapText="1"/>
    </xf>
    <xf fontId="24" fillId="40" borderId="10" numFmtId="162" xfId="0" applyNumberFormat="1" applyFont="1" applyFill="1" applyBorder="1" applyAlignment="1">
      <alignment horizontal="center" vertical="top"/>
    </xf>
    <xf fontId="36" fillId="24" borderId="10" numFmtId="4" xfId="0" applyNumberFormat="1" applyFont="1" applyFill="1" applyBorder="1" applyAlignment="1">
      <alignment horizontal="left" vertical="top" wrapText="1"/>
    </xf>
    <xf fontId="38" fillId="24" borderId="10" numFmtId="166" xfId="0" applyNumberFormat="1" applyFont="1" applyFill="1" applyBorder="1" applyAlignment="1">
      <alignment horizontal="center" vertical="top"/>
    </xf>
    <xf fontId="38" fillId="33" borderId="10" numFmtId="0" xfId="0" applyFont="1" applyFill="1" applyBorder="1" applyAlignment="1">
      <alignment horizontal="center" vertical="top" wrapText="1"/>
    </xf>
    <xf fontId="38" fillId="0" borderId="10" numFmtId="162" xfId="0" applyNumberFormat="1" applyFont="1" applyBorder="1" applyAlignment="1">
      <alignment horizontal="center" vertical="top"/>
    </xf>
    <xf fontId="38" fillId="33" borderId="10" numFmtId="0" xfId="0" applyFont="1" applyFill="1" applyBorder="1" applyAlignment="1">
      <alignment vertical="top" wrapText="1"/>
    </xf>
    <xf fontId="28" fillId="33" borderId="10" numFmtId="2" xfId="0" applyNumberFormat="1" applyFont="1" applyFill="1" applyBorder="1" applyAlignment="1">
      <alignment horizontal="center" vertical="top" wrapText="1"/>
    </xf>
    <xf fontId="24" fillId="33" borderId="10" numFmtId="9" xfId="78" applyNumberFormat="1" applyFont="1" applyFill="1" applyBorder="1" applyAlignment="1">
      <alignment horizontal="center" vertical="top" wrapText="1"/>
    </xf>
    <xf fontId="25" fillId="24" borderId="10" numFmtId="0" xfId="0" applyFont="1" applyFill="1" applyBorder="1" applyAlignment="1">
      <alignment horizontal="right" vertical="top" wrapText="1"/>
    </xf>
    <xf fontId="38" fillId="0" borderId="10" numFmtId="0" xfId="0" applyFont="1" applyBorder="1" applyAlignment="1">
      <alignment vertical="top" wrapText="1"/>
    </xf>
    <xf fontId="45" fillId="0" borderId="10" numFmtId="162" xfId="0" applyNumberFormat="1" applyFont="1" applyBorder="1" applyAlignment="1">
      <alignment vertical="top"/>
    </xf>
    <xf fontId="25" fillId="0" borderId="10" numFmtId="162" xfId="0" applyNumberFormat="1" applyFont="1" applyBorder="1" applyAlignment="1">
      <alignment vertical="top"/>
    </xf>
    <xf fontId="28" fillId="0" borderId="10" numFmtId="162" xfId="0" applyNumberFormat="1" applyFont="1" applyBorder="1" applyAlignment="1">
      <alignment vertical="top"/>
    </xf>
    <xf fontId="46" fillId="0" borderId="10" numFmtId="0" xfId="0" applyFont="1" applyBorder="1" applyAlignment="1">
      <alignment vertical="top" wrapText="1"/>
    </xf>
    <xf fontId="38" fillId="0" borderId="0" numFmtId="0" xfId="0" applyFont="1" applyAlignment="1">
      <alignment vertical="top" wrapText="1"/>
    </xf>
    <xf fontId="25" fillId="0" borderId="0" numFmtId="0" xfId="0" applyFont="1" applyAlignment="1">
      <alignment vertical="top" wrapText="1"/>
    </xf>
    <xf fontId="28" fillId="0" borderId="0" numFmtId="162" xfId="0" applyNumberFormat="1" applyFont="1" applyAlignment="1">
      <alignment vertical="top"/>
    </xf>
    <xf fontId="28" fillId="24" borderId="0" numFmtId="0" xfId="0" applyFont="1" applyFill="1" applyAlignment="1">
      <alignment vertical="top"/>
    </xf>
    <xf fontId="28" fillId="0" borderId="0" numFmtId="167" xfId="0" applyNumberFormat="1" applyFont="1" applyAlignment="1">
      <alignment vertical="top"/>
    </xf>
    <xf fontId="24" fillId="25" borderId="0" numFmtId="162" xfId="0" applyNumberFormat="1" applyFont="1" applyFill="1" applyAlignment="1">
      <alignment horizontal="center" vertical="top"/>
    </xf>
  </cellXfs>
  <cellStyles count="106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2 2" xfId="14"/>
    <cellStyle name="60% - Акцент3 2" xfId="15"/>
    <cellStyle name="60% - Акцент4 2" xfId="16"/>
    <cellStyle name="60% - Акцент5 2" xfId="17"/>
    <cellStyle name="60% - Акцент6 2" xfId="18"/>
    <cellStyle name="Excel Built-in Normal" xfId="19"/>
    <cellStyle name="Акцент1 2" xfId="20"/>
    <cellStyle name="Акцент2 2" xfId="21"/>
    <cellStyle name="Акцент3 2" xfId="22"/>
    <cellStyle name="Акцент4 2" xfId="23"/>
    <cellStyle name="Акцент5 2" xfId="24"/>
    <cellStyle name="Акцент6 2" xfId="25"/>
    <cellStyle name="Ввод  2" xfId="26"/>
    <cellStyle name="Вывод 2" xfId="27"/>
    <cellStyle name="Вычисление 2" xfId="28"/>
    <cellStyle name="Заголовок 1 2" xfId="29"/>
    <cellStyle name="Заголовок 2 2" xfId="30"/>
    <cellStyle name="Заголовок 3 2" xfId="31"/>
    <cellStyle name="Заголовок 4 2" xfId="32"/>
    <cellStyle name="Итог 2" xfId="33"/>
    <cellStyle name="Контрольная ячейка 2" xfId="34"/>
    <cellStyle name="Название 2" xfId="35"/>
    <cellStyle name="Нейтральный 2" xfId="36"/>
    <cellStyle name="Обычный" xfId="0" builtinId="0"/>
    <cellStyle name="Обычный 10" xfId="37"/>
    <cellStyle name="Обычный 11" xfId="38"/>
    <cellStyle name="Обычный 12" xfId="39"/>
    <cellStyle name="Обычный 2" xfId="40"/>
    <cellStyle name="Обычный 2 2" xfId="41"/>
    <cellStyle name="Обычный 2 2 2" xfId="42"/>
    <cellStyle name="Обычный 2 2 3" xfId="43"/>
    <cellStyle name="Обычный 2 3" xfId="44"/>
    <cellStyle name="Обычный 2 3 2" xfId="45"/>
    <cellStyle name="Обычный 2 3 3" xfId="46"/>
    <cellStyle name="Обычный 2 4" xfId="47"/>
    <cellStyle name="Обычный 2 4 2" xfId="48"/>
    <cellStyle name="Обычный 2 5" xfId="49"/>
    <cellStyle name="Обычный 2 6" xfId="50"/>
    <cellStyle name="Обычный 2_Приложение 11_1.1-1.45" xfId="51"/>
    <cellStyle name="Обычный 3" xfId="52"/>
    <cellStyle name="Обычный 3 2" xfId="53"/>
    <cellStyle name="Обычный 3 2 2" xfId="54"/>
    <cellStyle name="Обычный 3 2 2 2" xfId="55"/>
    <cellStyle name="Обычный 3 2 3" xfId="56"/>
    <cellStyle name="Обычный 3 3" xfId="57"/>
    <cellStyle name="Обычный 3 3 2" xfId="58"/>
    <cellStyle name="Обычный 3 3 3" xfId="59"/>
    <cellStyle name="Обычный 3 4" xfId="60"/>
    <cellStyle name="Обычный 3 5" xfId="61"/>
    <cellStyle name="Обычный 3 6" xfId="62"/>
    <cellStyle name="Обычный 4" xfId="63"/>
    <cellStyle name="Обычный 4 2" xfId="64"/>
    <cellStyle name="Обычный 4 2 2" xfId="65"/>
    <cellStyle name="Обычный 4 3" xfId="66"/>
    <cellStyle name="Обычный 5" xfId="67"/>
    <cellStyle name="Обычный 5 2" xfId="68"/>
    <cellStyle name="Обычный 6" xfId="69"/>
    <cellStyle name="Обычный 6 2" xfId="70"/>
    <cellStyle name="Обычный 7" xfId="71"/>
    <cellStyle name="Обычный 7 2" xfId="72"/>
    <cellStyle name="Обычный 8" xfId="73"/>
    <cellStyle name="Обычный 9" xfId="74"/>
    <cellStyle name="Плохой 2" xfId="75"/>
    <cellStyle name="Пояснение 2" xfId="76"/>
    <cellStyle name="Примечание 2" xfId="77"/>
    <cellStyle name="Процентный 2" xfId="78"/>
    <cellStyle name="Процентный 2 2" xfId="79"/>
    <cellStyle name="Процентный 2 3" xfId="80"/>
    <cellStyle name="Процентный 2 4" xfId="81"/>
    <cellStyle name="Процентный 2 5" xfId="82"/>
    <cellStyle name="Процентный 3" xfId="83"/>
    <cellStyle name="Процентный 3 2" xfId="84"/>
    <cellStyle name="Процентный 3 3" xfId="85"/>
    <cellStyle name="Процентный 3 4" xfId="86"/>
    <cellStyle name="Связанная ячейка 2" xfId="87"/>
    <cellStyle name="Текст предупреждения 2" xfId="88"/>
    <cellStyle name="Финансовый 2" xfId="89"/>
    <cellStyle name="Финансовый 2 2" xfId="90"/>
    <cellStyle name="Финансовый 2 2 2" xfId="91"/>
    <cellStyle name="Финансовый 2 2 3" xfId="92"/>
    <cellStyle name="Финансовый 2 2 4" xfId="93"/>
    <cellStyle name="Финансовый 2 3" xfId="94"/>
    <cellStyle name="Финансовый 2 4" xfId="95"/>
    <cellStyle name="Финансовый 2 5" xfId="96"/>
    <cellStyle name="Финансовый 3" xfId="97"/>
    <cellStyle name="Финансовый 3 2" xfId="98"/>
    <cellStyle name="Финансовый 3 2 2" xfId="99"/>
    <cellStyle name="Финансовый 3 3" xfId="100"/>
    <cellStyle name="Финансовый 3 4" xfId="101"/>
    <cellStyle name="Финансовый 4" xfId="102"/>
    <cellStyle name="Финансовый 4 2" xfId="103"/>
    <cellStyle name="Финансовый 4 3" xfId="104"/>
    <cellStyle name="Хороший 2" xfId="10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drawings/_rels/drawing1.xml.rels><?xml version="1.0" encoding="UTF-8" standalone="yes"?><Relationships xmlns="http://schemas.openxmlformats.org/package/2006/relationships"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m="http://schemas.openxmlformats.org/officeDocument/2006/math" xmlns:w="http://schemas.openxmlformats.org/wordprocessingml/2006/main">
  <xdr:twoCellAnchor editAs="twoCell">
    <xdr:from>
      <xdr:col>4</xdr:col>
      <xdr:colOff>585936</xdr:colOff>
      <xdr:row>155</xdr:row>
      <xdr:rowOff>0</xdr:rowOff>
    </xdr:from>
    <xdr:to>
      <xdr:col>6</xdr:col>
      <xdr:colOff>830833</xdr:colOff>
      <xdr:row>155</xdr:row>
      <xdr:rowOff>801662</xdr:rowOff>
    </xdr:to>
    <xdr:sp>
      <xdr:nvSpPr>
        <xdr:cNvPr id="665393" name="Прямоугольник 3"/>
        <xdr:cNvSpPr/>
      </xdr:nvSpPr>
      <xdr:spPr bwMode="auto">
        <a:xfrm>
          <a:off x="0" y="0"/>
          <a:ext cx="0" cy="0"/>
        </a:xfrm>
        <a:prstGeom prst="rect">
          <a:avLst/>
        </a:prstGeom>
        <a:noFill/>
      </xdr:spPr>
    </xdr:sp>
    <xdr:clientData/>
  </xdr:twoCellAnchor>
</xdr:wsDr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_rels/sheet1.xml.rels><?xml version="1.0" encoding="UTF-8" standalone="yes"?><Relationships xmlns="http://schemas.openxmlformats.org/package/2006/relationships"><Relationship 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published="0">
    <tabColor rgb="FFFFC000"/>
    <outlinePr applyStyles="0" summaryBelow="1" summaryRight="1" showOutlineSymbols="1"/>
    <pageSetUpPr autoPageBreaks="1" fitToPage="1"/>
  </sheetPr>
  <sheetViews>
    <sheetView view="pageBreakPreview" zoomScale="70" workbookViewId="0">
      <pane xSplit="9" ySplit="6" topLeftCell="J7" activePane="bottomRight" state="frozen"/>
      <selection activeCell="N314" activeCellId="0" sqref="N313:N314"/>
    </sheetView>
  </sheetViews>
  <sheetFormatPr defaultRowHeight="18.75" customHeight="1" outlineLevelRow="1" outlineLevelCol="1"/>
  <cols>
    <col customWidth="1" hidden="1" min="1" max="1" outlineLevel="1" style="1" width="17.42578125"/>
    <col collapsed="1" customWidth="1" min="2" max="2" style="1" width="51.42578125"/>
    <col customWidth="1" min="3" max="3" style="2" width="14.28515625"/>
    <col customWidth="1" min="4" max="4" style="2" width="16.5703125"/>
    <col customWidth="1" min="5" max="5" style="2" width="20.28515625"/>
    <col customWidth="1" min="6" max="6" style="3" width="21.140625"/>
    <col customWidth="1" min="7" max="7" style="1" width="18"/>
    <col customWidth="1" min="8" max="8" style="1" width="18.85546875"/>
    <col customWidth="1" min="9" max="9" style="1" width="18.5703125"/>
    <col customWidth="1" min="10" max="10" style="4" width="18.28515625"/>
    <col customWidth="1" min="11" max="11" style="1" width="20.85546875"/>
    <col customWidth="1" min="12" max="12" style="1" width="21.7109375"/>
    <col customWidth="1" min="13" max="13" style="1" width="17.5703125"/>
    <col customWidth="1" min="14" max="14" style="1" width="21.140625"/>
    <col bestFit="1" customWidth="1" min="15" max="15" style="1" width="18.7109375"/>
    <col bestFit="1" customWidth="1" min="16" max="16" style="1" width="19.5703125"/>
    <col bestFit="1" customWidth="1" min="17" max="17" style="1" width="16"/>
    <col customWidth="1" min="18" max="18" style="1" width="16.42578125"/>
    <col customWidth="1" hidden="1" min="19" max="19" style="1" width="43.5703125"/>
    <col customWidth="1" min="20" max="248" style="1" width="9.140625"/>
  </cols>
  <sheetData>
    <row r="1" ht="33.75" customHeight="1">
      <c r="B1" s="5" t="s">
        <v>0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6"/>
    </row>
    <row r="2" ht="27.75" customHeight="1">
      <c r="B2" s="7" t="s">
        <v>1</v>
      </c>
      <c r="C2" s="8"/>
      <c r="D2" s="8"/>
      <c r="E2" s="9"/>
      <c r="F2" s="9"/>
      <c r="G2" s="9"/>
      <c r="H2" s="9"/>
      <c r="I2" s="10"/>
      <c r="J2" s="11"/>
      <c r="K2" s="12"/>
      <c r="L2" s="13"/>
      <c r="M2" s="14"/>
      <c r="N2" s="15"/>
      <c r="O2" s="10"/>
      <c r="P2" s="16"/>
      <c r="Q2" s="17"/>
      <c r="R2" s="17"/>
      <c r="S2" s="17"/>
    </row>
    <row r="3" ht="33" customHeight="1">
      <c r="A3" s="18" t="s">
        <v>2</v>
      </c>
      <c r="B3" s="19" t="s">
        <v>3</v>
      </c>
      <c r="C3" s="20" t="s">
        <v>4</v>
      </c>
      <c r="D3" s="20" t="s">
        <v>5</v>
      </c>
      <c r="E3" s="21" t="s">
        <v>6</v>
      </c>
      <c r="F3" s="21"/>
      <c r="G3" s="21"/>
      <c r="H3" s="21"/>
      <c r="I3" s="20" t="s">
        <v>7</v>
      </c>
      <c r="J3" s="19" t="s">
        <v>8</v>
      </c>
      <c r="K3" s="22" t="s">
        <v>9</v>
      </c>
      <c r="L3" s="22"/>
      <c r="M3" s="22"/>
      <c r="N3" s="22"/>
      <c r="O3" s="23" t="s">
        <v>10</v>
      </c>
      <c r="P3" s="23"/>
      <c r="Q3" s="24" t="s">
        <v>11</v>
      </c>
      <c r="R3" s="24"/>
      <c r="S3" s="19" t="s">
        <v>12</v>
      </c>
    </row>
    <row r="4" ht="39.75" customHeight="1">
      <c r="A4" s="18"/>
      <c r="B4" s="19"/>
      <c r="C4" s="20"/>
      <c r="D4" s="20"/>
      <c r="E4" s="23" t="s">
        <v>13</v>
      </c>
      <c r="F4" s="25" t="s">
        <v>14</v>
      </c>
      <c r="G4" s="25" t="s">
        <v>15</v>
      </c>
      <c r="H4" s="25" t="s">
        <v>16</v>
      </c>
      <c r="I4" s="20"/>
      <c r="J4" s="19"/>
      <c r="K4" s="23" t="s">
        <v>13</v>
      </c>
      <c r="L4" s="25" t="s">
        <v>14</v>
      </c>
      <c r="M4" s="25" t="s">
        <v>15</v>
      </c>
      <c r="N4" s="25" t="s">
        <v>16</v>
      </c>
      <c r="O4" s="25" t="s">
        <v>14</v>
      </c>
      <c r="P4" s="25" t="s">
        <v>16</v>
      </c>
      <c r="Q4" s="24" t="s">
        <v>14</v>
      </c>
      <c r="R4" s="24" t="s">
        <v>16</v>
      </c>
      <c r="S4" s="26"/>
    </row>
    <row r="5" ht="24.75" customHeight="1">
      <c r="A5" s="27"/>
      <c r="B5" s="18"/>
      <c r="C5" s="20"/>
      <c r="D5" s="20"/>
      <c r="E5" s="28">
        <f>F6+H6</f>
        <v>12287986.942729998</v>
      </c>
      <c r="F5" s="25"/>
      <c r="G5" s="25"/>
      <c r="H5" s="25"/>
      <c r="I5" s="20"/>
      <c r="J5" s="19"/>
      <c r="K5" s="29">
        <f>L6+N6</f>
        <v>806192.95417000004</v>
      </c>
      <c r="L5" s="29"/>
      <c r="M5" s="25"/>
      <c r="N5" s="29"/>
      <c r="O5" s="30"/>
      <c r="P5" s="30"/>
      <c r="Q5" s="31">
        <f>K5/E5</f>
        <v>0.065608220282734914</v>
      </c>
      <c r="R5" s="32"/>
      <c r="S5" s="26"/>
    </row>
    <row r="6" ht="30.75" customHeight="1">
      <c r="A6" s="33">
        <v>76</v>
      </c>
      <c r="B6" s="34" t="s">
        <v>17</v>
      </c>
      <c r="C6" s="33"/>
      <c r="D6" s="35"/>
      <c r="E6" s="36">
        <f>E21+E43+E132+E145+E156+E159+E163+E167+E170+E174+E175+E297+E311+E313+E315+E316</f>
        <v>12434912.82501</v>
      </c>
      <c r="F6" s="36">
        <f>F21+F43+F132+F145+F156+F159+F163+F167+F170+F174+F175+F297+F311+F313+F315+F316</f>
        <v>11941918.942729998</v>
      </c>
      <c r="G6" s="36">
        <f t="shared" ref="G6:P6" si="0">G21+G43+G132+G145+G156+G159+G163+G167+G170+G174+G175+G297+G311+G313+G315+G316</f>
        <v>146925.88227999996</v>
      </c>
      <c r="H6" s="36">
        <f t="shared" si="0"/>
        <v>346068</v>
      </c>
      <c r="I6" s="36">
        <f t="shared" si="0"/>
        <v>0</v>
      </c>
      <c r="J6" s="36">
        <f t="shared" si="0"/>
        <v>434321.17223999999</v>
      </c>
      <c r="K6" s="36">
        <f t="shared" si="0"/>
        <v>812456.70171000005</v>
      </c>
      <c r="L6" s="37">
        <f>L21+L43+L132+L145+L156+L159+L163+L167+L170+L174+L175+L297+L311+L313+L315+L316</f>
        <v>741020.75418000005</v>
      </c>
      <c r="M6" s="36">
        <f t="shared" si="0"/>
        <v>6263.7475400000003</v>
      </c>
      <c r="N6" s="37">
        <f t="shared" si="0"/>
        <v>65172.199990000016</v>
      </c>
      <c r="O6" s="36">
        <f t="shared" si="0"/>
        <v>11200898.188549999</v>
      </c>
      <c r="P6" s="36">
        <f t="shared" si="0"/>
        <v>280895.80000999995</v>
      </c>
      <c r="Q6" s="38">
        <f t="shared" ref="Q6:Q7" si="1">L6/F6</f>
        <v>0.062052066986363084</v>
      </c>
      <c r="R6" s="38">
        <f t="shared" ref="R6:R7" si="2">N6/H6</f>
        <v>0.18832194825872375</v>
      </c>
      <c r="S6" s="38"/>
    </row>
    <row r="7" ht="23.25" hidden="1" customHeight="1" outlineLevel="1">
      <c r="A7" s="27"/>
      <c r="B7" s="39" t="s">
        <v>18</v>
      </c>
      <c r="C7" s="40"/>
      <c r="D7" s="40"/>
      <c r="E7" s="41">
        <f>E9+E10</f>
        <v>4153735.9155600001</v>
      </c>
      <c r="F7" s="41">
        <f t="shared" ref="F7:P7" si="3">F9+F10</f>
        <v>4135401.7155600004</v>
      </c>
      <c r="G7" s="41">
        <f t="shared" si="3"/>
        <v>17834.200000000001</v>
      </c>
      <c r="H7" s="41">
        <f t="shared" si="3"/>
        <v>500</v>
      </c>
      <c r="I7" s="41">
        <f t="shared" si="3"/>
        <v>0</v>
      </c>
      <c r="J7" s="41">
        <f t="shared" si="3"/>
        <v>242251.02982</v>
      </c>
      <c r="K7" s="41">
        <f t="shared" si="3"/>
        <v>203335.54587</v>
      </c>
      <c r="L7" s="41">
        <f t="shared" si="3"/>
        <v>203335.54587</v>
      </c>
      <c r="M7" s="41">
        <f t="shared" si="3"/>
        <v>0</v>
      </c>
      <c r="N7" s="41">
        <f t="shared" si="3"/>
        <v>0</v>
      </c>
      <c r="O7" s="41">
        <f t="shared" si="3"/>
        <v>3932066.1696900004</v>
      </c>
      <c r="P7" s="41">
        <f t="shared" si="3"/>
        <v>500</v>
      </c>
      <c r="Q7" s="42">
        <f t="shared" si="1"/>
        <v>0.049169478530930358</v>
      </c>
      <c r="R7" s="42">
        <f t="shared" si="2"/>
        <v>0</v>
      </c>
      <c r="S7" s="43"/>
    </row>
    <row r="8" ht="21" hidden="1" customHeight="1" outlineLevel="1">
      <c r="A8" s="27"/>
      <c r="B8" s="44" t="s">
        <v>19</v>
      </c>
      <c r="C8" s="45"/>
      <c r="D8" s="45"/>
      <c r="E8" s="46">
        <f>F9+H9</f>
        <v>3229277.7268600003</v>
      </c>
      <c r="F8" s="46"/>
      <c r="G8" s="46"/>
      <c r="H8" s="46"/>
      <c r="I8" s="46"/>
      <c r="J8" s="46"/>
      <c r="K8" s="46">
        <f>L9+N9</f>
        <v>201557.44795</v>
      </c>
      <c r="L8" s="47"/>
      <c r="M8" s="47"/>
      <c r="N8" s="47"/>
      <c r="O8" s="46"/>
      <c r="P8" s="46"/>
      <c r="Q8" s="48">
        <f>K8/E8</f>
        <v>0.062415643682027032</v>
      </c>
      <c r="R8" s="49" t="e">
        <f>(#REF!+#REF!)/(N9+#REF!)</f>
        <v>#REF!</v>
      </c>
      <c r="S8" s="43"/>
    </row>
    <row r="9" hidden="1" outlineLevel="1">
      <c r="A9" s="27"/>
      <c r="B9" s="50" t="s">
        <v>20</v>
      </c>
      <c r="C9" s="51"/>
      <c r="D9" s="51"/>
      <c r="E9" s="52">
        <f>E13+E16+E27</f>
        <v>3247111.92686</v>
      </c>
      <c r="F9" s="52">
        <f t="shared" ref="F9:P9" si="4">F13+F16+F27</f>
        <v>3228777.7268600003</v>
      </c>
      <c r="G9" s="52">
        <f t="shared" si="4"/>
        <v>17834.200000000001</v>
      </c>
      <c r="H9" s="52">
        <f t="shared" si="4"/>
        <v>500</v>
      </c>
      <c r="I9" s="52">
        <f t="shared" si="4"/>
        <v>0</v>
      </c>
      <c r="J9" s="52">
        <f t="shared" si="4"/>
        <v>234963.83728000001</v>
      </c>
      <c r="K9" s="52">
        <f t="shared" si="4"/>
        <v>201557.44795</v>
      </c>
      <c r="L9" s="52">
        <f t="shared" si="4"/>
        <v>201557.44795</v>
      </c>
      <c r="M9" s="52">
        <f t="shared" si="4"/>
        <v>0</v>
      </c>
      <c r="N9" s="52">
        <f t="shared" si="4"/>
        <v>0</v>
      </c>
      <c r="O9" s="52">
        <f t="shared" si="4"/>
        <v>3027220.2789100003</v>
      </c>
      <c r="P9" s="52">
        <f t="shared" si="4"/>
        <v>500</v>
      </c>
      <c r="Q9" s="53">
        <f>L9/F9</f>
        <v>0.062425309203930697</v>
      </c>
      <c r="R9" s="53">
        <f>N9/H9</f>
        <v>0</v>
      </c>
      <c r="S9" s="43"/>
    </row>
    <row r="10" hidden="1" outlineLevel="1">
      <c r="A10" s="27"/>
      <c r="B10" s="50" t="s">
        <v>21</v>
      </c>
      <c r="C10" s="51"/>
      <c r="D10" s="51"/>
      <c r="E10" s="52">
        <f>E14+E17</f>
        <v>906623.98869999999</v>
      </c>
      <c r="F10" s="52">
        <f>F14+F17</f>
        <v>906623.98869999999</v>
      </c>
      <c r="G10" s="52">
        <f t="shared" ref="G10:P10" si="5">G14+G17</f>
        <v>0</v>
      </c>
      <c r="H10" s="52">
        <f t="shared" si="5"/>
        <v>0</v>
      </c>
      <c r="I10" s="52">
        <f t="shared" si="5"/>
        <v>0</v>
      </c>
      <c r="J10" s="52">
        <f t="shared" si="5"/>
        <v>7287.19254</v>
      </c>
      <c r="K10" s="52">
        <f t="shared" si="5"/>
        <v>1778.0979199999999</v>
      </c>
      <c r="L10" s="52">
        <f t="shared" si="5"/>
        <v>1778.0979199999999</v>
      </c>
      <c r="M10" s="52">
        <f t="shared" si="5"/>
        <v>0</v>
      </c>
      <c r="N10" s="52">
        <f t="shared" si="5"/>
        <v>0</v>
      </c>
      <c r="O10" s="52">
        <f t="shared" si="5"/>
        <v>904845.89078000002</v>
      </c>
      <c r="P10" s="52">
        <f t="shared" si="5"/>
        <v>0</v>
      </c>
      <c r="Q10" s="54">
        <f t="shared" ref="Q10:Q11" si="6">L10/F10</f>
        <v>0.0019612297293717085</v>
      </c>
      <c r="R10" s="54"/>
      <c r="S10" s="43"/>
    </row>
    <row r="11" hidden="1" outlineLevel="1">
      <c r="A11" s="27"/>
      <c r="B11" s="39" t="s">
        <v>22</v>
      </c>
      <c r="C11" s="40"/>
      <c r="D11" s="40"/>
      <c r="E11" s="41">
        <f t="shared" ref="E11:P11" si="7">E13+E14</f>
        <v>3038807.13515</v>
      </c>
      <c r="F11" s="41">
        <f t="shared" si="7"/>
        <v>3038807.13515</v>
      </c>
      <c r="G11" s="41">
        <f t="shared" si="7"/>
        <v>0</v>
      </c>
      <c r="H11" s="41">
        <f t="shared" si="7"/>
        <v>0</v>
      </c>
      <c r="I11" s="41">
        <f t="shared" si="7"/>
        <v>0</v>
      </c>
      <c r="J11" s="41">
        <f t="shared" si="7"/>
        <v>242251.02982</v>
      </c>
      <c r="K11" s="41">
        <f t="shared" si="7"/>
        <v>203335.54587</v>
      </c>
      <c r="L11" s="41">
        <f t="shared" si="7"/>
        <v>203335.54587</v>
      </c>
      <c r="M11" s="41">
        <f t="shared" si="7"/>
        <v>0</v>
      </c>
      <c r="N11" s="41">
        <f t="shared" si="7"/>
        <v>0</v>
      </c>
      <c r="O11" s="41">
        <f t="shared" si="7"/>
        <v>2835471.58928</v>
      </c>
      <c r="P11" s="41">
        <f t="shared" si="7"/>
        <v>0</v>
      </c>
      <c r="Q11" s="42">
        <f t="shared" si="6"/>
        <v>0.066912948675817513</v>
      </c>
      <c r="R11" s="42"/>
      <c r="S11" s="43"/>
    </row>
    <row r="12" hidden="1" outlineLevel="1">
      <c r="A12" s="27"/>
      <c r="B12" s="44" t="s">
        <v>19</v>
      </c>
      <c r="C12" s="45"/>
      <c r="D12" s="45"/>
      <c r="E12" s="46"/>
      <c r="F12" s="46"/>
      <c r="G12" s="46"/>
      <c r="H12" s="46"/>
      <c r="I12" s="46"/>
      <c r="J12" s="46"/>
      <c r="K12" s="47"/>
      <c r="L12" s="47"/>
      <c r="M12" s="47"/>
      <c r="N12" s="47"/>
      <c r="O12" s="46"/>
      <c r="P12" s="46"/>
      <c r="Q12" s="48">
        <f>K13/E13</f>
        <v>0.070142000965457946</v>
      </c>
      <c r="R12" s="49"/>
      <c r="S12" s="43"/>
    </row>
    <row r="13" hidden="1" outlineLevel="1">
      <c r="A13" s="27"/>
      <c r="B13" s="50" t="s">
        <v>23</v>
      </c>
      <c r="C13" s="51"/>
      <c r="D13" s="51"/>
      <c r="E13" s="52">
        <f t="shared" ref="E13:P13" si="8">E25+E26+E28+E29+E49+E50+E51+E52+E53+E55-E56-E57+E135+E148+E149+E171</f>
        <v>2873562.8464500001</v>
      </c>
      <c r="F13" s="52">
        <f t="shared" si="8"/>
        <v>2873562.8464500001</v>
      </c>
      <c r="G13" s="52">
        <f t="shared" si="8"/>
        <v>0</v>
      </c>
      <c r="H13" s="52">
        <f t="shared" si="8"/>
        <v>0</v>
      </c>
      <c r="I13" s="52">
        <f t="shared" si="8"/>
        <v>0</v>
      </c>
      <c r="J13" s="52">
        <f t="shared" si="8"/>
        <v>234963.83728000001</v>
      </c>
      <c r="K13" s="52">
        <f t="shared" si="8"/>
        <v>201557.44795</v>
      </c>
      <c r="L13" s="52">
        <f t="shared" si="8"/>
        <v>201557.44795</v>
      </c>
      <c r="M13" s="52">
        <f t="shared" si="8"/>
        <v>0</v>
      </c>
      <c r="N13" s="52">
        <f t="shared" si="8"/>
        <v>0</v>
      </c>
      <c r="O13" s="52">
        <f t="shared" si="8"/>
        <v>2672005.3985000001</v>
      </c>
      <c r="P13" s="52">
        <f t="shared" si="8"/>
        <v>0</v>
      </c>
      <c r="Q13" s="53">
        <f t="shared" ref="Q13:Q76" si="9">L13/F13</f>
        <v>0.070142000965457946</v>
      </c>
      <c r="R13" s="53"/>
      <c r="S13" s="43"/>
    </row>
    <row r="14" ht="21.75" hidden="1" customHeight="1" outlineLevel="1">
      <c r="A14" s="27"/>
      <c r="B14" s="50" t="s">
        <v>24</v>
      </c>
      <c r="C14" s="51"/>
      <c r="D14" s="51"/>
      <c r="E14" s="52">
        <f t="shared" ref="E14:P14" si="10">E23+E24+E45+E46+E47+E48+E56+E57+E134</f>
        <v>165244.2887</v>
      </c>
      <c r="F14" s="52">
        <f t="shared" si="10"/>
        <v>165244.2887</v>
      </c>
      <c r="G14" s="52">
        <f t="shared" si="10"/>
        <v>0</v>
      </c>
      <c r="H14" s="52">
        <f t="shared" si="10"/>
        <v>0</v>
      </c>
      <c r="I14" s="52">
        <f t="shared" si="10"/>
        <v>0</v>
      </c>
      <c r="J14" s="52">
        <f t="shared" si="10"/>
        <v>7287.19254</v>
      </c>
      <c r="K14" s="52">
        <f t="shared" si="10"/>
        <v>1778.0979199999999</v>
      </c>
      <c r="L14" s="52">
        <f t="shared" si="10"/>
        <v>1778.0979199999999</v>
      </c>
      <c r="M14" s="52">
        <f t="shared" si="10"/>
        <v>0</v>
      </c>
      <c r="N14" s="52">
        <f t="shared" si="10"/>
        <v>0</v>
      </c>
      <c r="O14" s="52">
        <f t="shared" si="10"/>
        <v>163466.19078</v>
      </c>
      <c r="P14" s="52">
        <f t="shared" si="10"/>
        <v>0</v>
      </c>
      <c r="Q14" s="53">
        <f t="shared" si="9"/>
        <v>0.010760419824422046</v>
      </c>
      <c r="R14" s="54"/>
      <c r="S14" s="43"/>
    </row>
    <row r="15" ht="21.75" hidden="1" customHeight="1" outlineLevel="1">
      <c r="A15" s="27"/>
      <c r="B15" s="39" t="s">
        <v>25</v>
      </c>
      <c r="C15" s="40"/>
      <c r="D15" s="40"/>
      <c r="E15" s="41">
        <f>E16+E17</f>
        <v>759939.79999999993</v>
      </c>
      <c r="F15" s="41">
        <f t="shared" ref="F15:P15" si="11">F16+F17</f>
        <v>759939.79999999993</v>
      </c>
      <c r="G15" s="41">
        <f t="shared" si="11"/>
        <v>0</v>
      </c>
      <c r="H15" s="41">
        <f t="shared" si="11"/>
        <v>0</v>
      </c>
      <c r="I15" s="41">
        <f t="shared" si="11"/>
        <v>0</v>
      </c>
      <c r="J15" s="41">
        <f t="shared" si="11"/>
        <v>0</v>
      </c>
      <c r="K15" s="41">
        <f t="shared" si="11"/>
        <v>0</v>
      </c>
      <c r="L15" s="41">
        <f t="shared" si="11"/>
        <v>0</v>
      </c>
      <c r="M15" s="41">
        <f t="shared" si="11"/>
        <v>0</v>
      </c>
      <c r="N15" s="41">
        <f t="shared" si="11"/>
        <v>0</v>
      </c>
      <c r="O15" s="41">
        <f t="shared" si="11"/>
        <v>759939.79999999993</v>
      </c>
      <c r="P15" s="41">
        <f t="shared" si="11"/>
        <v>0</v>
      </c>
      <c r="Q15" s="42">
        <f t="shared" si="9"/>
        <v>0</v>
      </c>
      <c r="R15" s="42"/>
      <c r="S15" s="43"/>
    </row>
    <row r="16" ht="21.75" hidden="1" customHeight="1" outlineLevel="1">
      <c r="A16" s="27"/>
      <c r="B16" s="50" t="s">
        <v>26</v>
      </c>
      <c r="C16" s="51"/>
      <c r="D16" s="51"/>
      <c r="E16" s="52">
        <f>E167</f>
        <v>18560.099999999999</v>
      </c>
      <c r="F16" s="52">
        <f t="shared" ref="F16:P16" si="12">F167</f>
        <v>18560.099999999999</v>
      </c>
      <c r="G16" s="52">
        <f t="shared" si="12"/>
        <v>0</v>
      </c>
      <c r="H16" s="52">
        <f t="shared" si="12"/>
        <v>0</v>
      </c>
      <c r="I16" s="52">
        <f t="shared" si="12"/>
        <v>0</v>
      </c>
      <c r="J16" s="52">
        <f t="shared" si="12"/>
        <v>0</v>
      </c>
      <c r="K16" s="52">
        <f t="shared" si="12"/>
        <v>0</v>
      </c>
      <c r="L16" s="52">
        <f t="shared" si="12"/>
        <v>0</v>
      </c>
      <c r="M16" s="52">
        <f t="shared" si="12"/>
        <v>0</v>
      </c>
      <c r="N16" s="52">
        <f t="shared" si="12"/>
        <v>0</v>
      </c>
      <c r="O16" s="52">
        <f t="shared" si="12"/>
        <v>18560.099999999999</v>
      </c>
      <c r="P16" s="52">
        <f t="shared" si="12"/>
        <v>0</v>
      </c>
      <c r="Q16" s="53">
        <f t="shared" si="9"/>
        <v>0</v>
      </c>
      <c r="R16" s="53"/>
      <c r="S16" s="43"/>
    </row>
    <row r="17" ht="21.75" hidden="1" customHeight="1" outlineLevel="1">
      <c r="A17" s="27"/>
      <c r="B17" s="50" t="s">
        <v>27</v>
      </c>
      <c r="C17" s="51"/>
      <c r="D17" s="51"/>
      <c r="E17" s="52">
        <f>E147</f>
        <v>741379.69999999995</v>
      </c>
      <c r="F17" s="52">
        <f t="shared" ref="F17:P17" si="13">F147</f>
        <v>741379.69999999995</v>
      </c>
      <c r="G17" s="52">
        <f t="shared" si="13"/>
        <v>0</v>
      </c>
      <c r="H17" s="52">
        <f t="shared" si="13"/>
        <v>0</v>
      </c>
      <c r="I17" s="52">
        <f t="shared" si="13"/>
        <v>0</v>
      </c>
      <c r="J17" s="52">
        <f t="shared" si="13"/>
        <v>0</v>
      </c>
      <c r="K17" s="52">
        <f t="shared" si="13"/>
        <v>0</v>
      </c>
      <c r="L17" s="52">
        <f t="shared" si="13"/>
        <v>0</v>
      </c>
      <c r="M17" s="52">
        <f t="shared" si="13"/>
        <v>0</v>
      </c>
      <c r="N17" s="52">
        <f t="shared" si="13"/>
        <v>0</v>
      </c>
      <c r="O17" s="52">
        <f t="shared" si="13"/>
        <v>741379.69999999995</v>
      </c>
      <c r="P17" s="52">
        <f t="shared" si="13"/>
        <v>0</v>
      </c>
      <c r="Q17" s="53">
        <f t="shared" si="9"/>
        <v>0</v>
      </c>
      <c r="R17" s="54"/>
      <c r="S17" s="43"/>
    </row>
    <row r="18" s="55" customFormat="1" ht="31.5" hidden="1" outlineLevel="1">
      <c r="A18" s="56"/>
      <c r="B18" s="57" t="s">
        <v>28</v>
      </c>
      <c r="C18" s="58"/>
      <c r="D18" s="58"/>
      <c r="E18" s="59">
        <f>E30+E87+E123+E136+E150+E156+E159+E163</f>
        <v>4238622.2831800003</v>
      </c>
      <c r="F18" s="59">
        <f t="shared" ref="F18:P18" si="14">F30+F87+F123+F136+F150+F156+F159+F163</f>
        <v>3918302.3781800009</v>
      </c>
      <c r="G18" s="59">
        <f t="shared" si="14"/>
        <v>45724.804999999993</v>
      </c>
      <c r="H18" s="59">
        <f t="shared" si="14"/>
        <v>274595.09999999998</v>
      </c>
      <c r="I18" s="59">
        <f t="shared" si="14"/>
        <v>0</v>
      </c>
      <c r="J18" s="59">
        <f t="shared" si="14"/>
        <v>133750.99758999998</v>
      </c>
      <c r="K18" s="59">
        <f t="shared" si="14"/>
        <v>405113.52200999996</v>
      </c>
      <c r="L18" s="59">
        <f t="shared" si="14"/>
        <v>402458.02095999999</v>
      </c>
      <c r="M18" s="59">
        <f t="shared" si="14"/>
        <v>2655.5010499999999</v>
      </c>
      <c r="N18" s="59">
        <f t="shared" si="14"/>
        <v>0</v>
      </c>
      <c r="O18" s="59">
        <f t="shared" si="14"/>
        <v>3515844.3572200001</v>
      </c>
      <c r="P18" s="59">
        <f t="shared" si="14"/>
        <v>274595.09999999998</v>
      </c>
      <c r="Q18" s="60">
        <f t="shared" si="9"/>
        <v>0.10271234379490038</v>
      </c>
      <c r="R18" s="60"/>
      <c r="S18" s="61"/>
    </row>
    <row r="19" s="62" customFormat="1" ht="21" hidden="1" customHeight="1" outlineLevel="1">
      <c r="A19" s="63"/>
      <c r="B19" s="64" t="s">
        <v>29</v>
      </c>
      <c r="C19" s="65"/>
      <c r="D19" s="65"/>
      <c r="E19" s="66">
        <f t="shared" ref="E19:P19" si="15">E174+E175+E297+E311+E313+E315+E316</f>
        <v>4042554.6262699994</v>
      </c>
      <c r="F19" s="66">
        <f t="shared" si="15"/>
        <v>3888214.8489899994</v>
      </c>
      <c r="G19" s="66">
        <f t="shared" si="15"/>
        <v>83366.877279999986</v>
      </c>
      <c r="H19" s="66">
        <f t="shared" si="15"/>
        <v>70972.899999999994</v>
      </c>
      <c r="I19" s="66">
        <f t="shared" si="15"/>
        <v>0</v>
      </c>
      <c r="J19" s="66">
        <f t="shared" si="15"/>
        <v>58319.144830000005</v>
      </c>
      <c r="K19" s="66">
        <f t="shared" si="15"/>
        <v>204007.63382999998</v>
      </c>
      <c r="L19" s="66">
        <f t="shared" si="15"/>
        <v>135227.18735000002</v>
      </c>
      <c r="M19" s="66">
        <f t="shared" si="15"/>
        <v>3608.24649</v>
      </c>
      <c r="N19" s="66">
        <f t="shared" si="15"/>
        <v>65172.199990000016</v>
      </c>
      <c r="O19" s="66">
        <f t="shared" si="15"/>
        <v>3752987.6616400001</v>
      </c>
      <c r="P19" s="66">
        <f t="shared" si="15"/>
        <v>5800.7000099999996</v>
      </c>
      <c r="Q19" s="67">
        <f t="shared" si="9"/>
        <v>0.034778733326715876</v>
      </c>
      <c r="R19" s="67">
        <f>N19/H19</f>
        <v>0.91826880386739196</v>
      </c>
      <c r="S19" s="68"/>
    </row>
    <row r="20" ht="25.5" customHeight="1" collapsed="1">
      <c r="A20" s="69"/>
      <c r="B20" s="69" t="s">
        <v>30</v>
      </c>
      <c r="C20" s="70"/>
      <c r="D20" s="71"/>
      <c r="E20" s="71"/>
      <c r="F20" s="71"/>
      <c r="G20" s="71"/>
      <c r="H20" s="71"/>
      <c r="I20" s="71"/>
      <c r="J20" s="71"/>
      <c r="K20" s="71"/>
      <c r="L20" s="71"/>
      <c r="M20" s="71"/>
      <c r="N20" s="71"/>
      <c r="O20" s="71"/>
      <c r="P20" s="71"/>
      <c r="Q20" s="72"/>
      <c r="R20" s="73"/>
      <c r="S20" s="73"/>
    </row>
    <row r="21" ht="86.25" customHeight="1">
      <c r="A21" s="74"/>
      <c r="B21" s="74" t="s">
        <v>31</v>
      </c>
      <c r="C21" s="75"/>
      <c r="D21" s="76"/>
      <c r="E21" s="76">
        <f t="shared" ref="E21:P21" si="16">E22+E30</f>
        <v>3735121.4243000001</v>
      </c>
      <c r="F21" s="76">
        <f t="shared" si="16"/>
        <v>3402867.3193000001</v>
      </c>
      <c r="G21" s="76">
        <f t="shared" si="16"/>
        <v>57159.00499999999</v>
      </c>
      <c r="H21" s="76">
        <f t="shared" si="16"/>
        <v>275095.09999999998</v>
      </c>
      <c r="I21" s="76">
        <f t="shared" si="16"/>
        <v>0</v>
      </c>
      <c r="J21" s="76">
        <f t="shared" si="16"/>
        <v>196733.66514</v>
      </c>
      <c r="K21" s="76">
        <f t="shared" si="16"/>
        <v>460019.17502999998</v>
      </c>
      <c r="L21" s="76">
        <f t="shared" si="16"/>
        <v>458372.16978</v>
      </c>
      <c r="M21" s="76">
        <f t="shared" si="16"/>
        <v>1647.0052499999999</v>
      </c>
      <c r="N21" s="76">
        <f t="shared" si="16"/>
        <v>0</v>
      </c>
      <c r="O21" s="76">
        <f t="shared" si="16"/>
        <v>2944495.1495199995</v>
      </c>
      <c r="P21" s="76">
        <f t="shared" si="16"/>
        <v>275095.09999999998</v>
      </c>
      <c r="Q21" s="77">
        <f t="shared" si="9"/>
        <v>0.13470174613634103</v>
      </c>
      <c r="R21" s="77">
        <f t="shared" ref="R21:R33" si="17">N21/H21</f>
        <v>0</v>
      </c>
      <c r="S21" s="78"/>
    </row>
    <row r="22" ht="24.75" customHeight="1">
      <c r="A22" s="79"/>
      <c r="B22" s="79" t="s">
        <v>32</v>
      </c>
      <c r="C22" s="80"/>
      <c r="D22" s="81"/>
      <c r="E22" s="82">
        <f t="shared" ref="E22:P22" si="18">SUM(E23:E29)</f>
        <v>1125106.8193000001</v>
      </c>
      <c r="F22" s="82">
        <f t="shared" si="18"/>
        <v>1106772.6192999999</v>
      </c>
      <c r="G22" s="82">
        <f t="shared" si="18"/>
        <v>17834.200000000001</v>
      </c>
      <c r="H22" s="82">
        <f t="shared" si="18"/>
        <v>500</v>
      </c>
      <c r="I22" s="82">
        <f t="shared" si="18"/>
        <v>0</v>
      </c>
      <c r="J22" s="82">
        <f t="shared" si="18"/>
        <v>146556.65416999999</v>
      </c>
      <c r="K22" s="82">
        <f t="shared" si="18"/>
        <v>132941.45017999999</v>
      </c>
      <c r="L22" s="82">
        <f t="shared" si="18"/>
        <v>132941.45017999999</v>
      </c>
      <c r="M22" s="82">
        <f t="shared" si="18"/>
        <v>0</v>
      </c>
      <c r="N22" s="82">
        <f t="shared" si="18"/>
        <v>0</v>
      </c>
      <c r="O22" s="82">
        <f t="shared" si="18"/>
        <v>973831.16911999998</v>
      </c>
      <c r="P22" s="82">
        <f t="shared" si="18"/>
        <v>500</v>
      </c>
      <c r="Q22" s="83">
        <f t="shared" si="9"/>
        <v>0.12011631645177617</v>
      </c>
      <c r="R22" s="83">
        <f t="shared" si="17"/>
        <v>0</v>
      </c>
      <c r="S22" s="84"/>
    </row>
    <row r="23" ht="42.75" customHeight="1">
      <c r="A23" s="85" t="s">
        <v>33</v>
      </c>
      <c r="B23" s="86" t="s">
        <v>34</v>
      </c>
      <c r="C23" s="87" t="s">
        <v>35</v>
      </c>
      <c r="D23" s="88" t="s">
        <v>36</v>
      </c>
      <c r="E23" s="89">
        <f t="shared" ref="E23:E29" si="19">F23+G23+H23</f>
        <v>6614.3999999999996</v>
      </c>
      <c r="F23" s="90">
        <v>6614.3999999999996</v>
      </c>
      <c r="G23" s="90"/>
      <c r="H23" s="89"/>
      <c r="I23" s="89"/>
      <c r="J23" s="90"/>
      <c r="K23" s="89">
        <f t="shared" ref="K23:K29" si="20">L23+M23+N23</f>
        <v>0</v>
      </c>
      <c r="L23" s="90"/>
      <c r="M23" s="90"/>
      <c r="N23" s="90"/>
      <c r="O23" s="89">
        <f t="shared" ref="O23:O29" si="21">F23-L23</f>
        <v>6614.3999999999996</v>
      </c>
      <c r="P23" s="89">
        <f t="shared" ref="P23:P29" si="22">H23-N23</f>
        <v>0</v>
      </c>
      <c r="Q23" s="91">
        <f t="shared" si="9"/>
        <v>0</v>
      </c>
      <c r="R23" s="91"/>
      <c r="S23" s="92" t="s">
        <v>37</v>
      </c>
    </row>
    <row r="24" ht="42.75" customHeight="1">
      <c r="A24" s="85" t="s">
        <v>38</v>
      </c>
      <c r="B24" s="86" t="s">
        <v>39</v>
      </c>
      <c r="C24" s="87" t="s">
        <v>35</v>
      </c>
      <c r="D24" s="88" t="s">
        <v>36</v>
      </c>
      <c r="E24" s="89">
        <f t="shared" si="19"/>
        <v>3197.5999999999999</v>
      </c>
      <c r="F24" s="90">
        <v>3197.5999999999999</v>
      </c>
      <c r="G24" s="90"/>
      <c r="H24" s="89"/>
      <c r="I24" s="89"/>
      <c r="J24" s="90">
        <v>588.49768999999992</v>
      </c>
      <c r="K24" s="89">
        <f t="shared" si="20"/>
        <v>88.274649999999994</v>
      </c>
      <c r="L24" s="90">
        <f>88.27465</f>
        <v>88.274649999999994</v>
      </c>
      <c r="M24" s="90"/>
      <c r="N24" s="90"/>
      <c r="O24" s="89">
        <f t="shared" si="21"/>
        <v>3109.3253500000001</v>
      </c>
      <c r="P24" s="89">
        <f t="shared" si="22"/>
        <v>0</v>
      </c>
      <c r="Q24" s="91">
        <f t="shared" si="9"/>
        <v>0.027606533024768575</v>
      </c>
      <c r="R24" s="91"/>
      <c r="S24" s="92" t="s">
        <v>37</v>
      </c>
    </row>
    <row r="25" ht="54" customHeight="1">
      <c r="A25" s="85" t="s">
        <v>40</v>
      </c>
      <c r="B25" s="86" t="s">
        <v>41</v>
      </c>
      <c r="C25" s="93" t="s">
        <v>42</v>
      </c>
      <c r="D25" s="88" t="s">
        <v>36</v>
      </c>
      <c r="E25" s="89">
        <f t="shared" si="19"/>
        <v>127947.95328</v>
      </c>
      <c r="F25" s="90">
        <f>42549+85398.95328</f>
        <v>127947.95328</v>
      </c>
      <c r="G25" s="90"/>
      <c r="H25" s="89"/>
      <c r="I25" s="89"/>
      <c r="J25" s="90">
        <v>64042.853260000004</v>
      </c>
      <c r="K25" s="89">
        <f t="shared" si="20"/>
        <v>52276.881679999999</v>
      </c>
      <c r="L25" s="90">
        <f>52276.88168</f>
        <v>52276.881679999999</v>
      </c>
      <c r="M25" s="90"/>
      <c r="N25" s="90"/>
      <c r="O25" s="89">
        <f t="shared" si="21"/>
        <v>75671.071599999996</v>
      </c>
      <c r="P25" s="89">
        <f t="shared" si="22"/>
        <v>0</v>
      </c>
      <c r="Q25" s="91">
        <f t="shared" si="9"/>
        <v>0.40857927258592253</v>
      </c>
      <c r="R25" s="91"/>
      <c r="S25" s="92" t="s">
        <v>43</v>
      </c>
    </row>
    <row r="26" ht="45.75" customHeight="1">
      <c r="A26" s="85" t="s">
        <v>44</v>
      </c>
      <c r="B26" s="86" t="s">
        <v>45</v>
      </c>
      <c r="C26" s="94">
        <v>220</v>
      </c>
      <c r="D26" s="88" t="s">
        <v>36</v>
      </c>
      <c r="E26" s="89">
        <f t="shared" si="19"/>
        <v>186277.47321999999</v>
      </c>
      <c r="F26" s="90">
        <f>153142+33135.47322</f>
        <v>186277.47321999999</v>
      </c>
      <c r="G26" s="90"/>
      <c r="H26" s="89"/>
      <c r="I26" s="89"/>
      <c r="J26" s="90">
        <v>63451.01571</v>
      </c>
      <c r="K26" s="89">
        <f t="shared" si="20"/>
        <v>31614.574980000001</v>
      </c>
      <c r="L26" s="89">
        <f>31614.57498</f>
        <v>31614.574980000001</v>
      </c>
      <c r="M26" s="89"/>
      <c r="N26" s="89"/>
      <c r="O26" s="89">
        <f t="shared" si="21"/>
        <v>154662.89823999998</v>
      </c>
      <c r="P26" s="89">
        <f t="shared" si="22"/>
        <v>0</v>
      </c>
      <c r="Q26" s="91">
        <f t="shared" si="9"/>
        <v>0.16971764987740692</v>
      </c>
      <c r="R26" s="91"/>
      <c r="S26" s="92" t="s">
        <v>46</v>
      </c>
    </row>
    <row r="27" ht="45" customHeight="1">
      <c r="A27" s="85" t="s">
        <v>47</v>
      </c>
      <c r="B27" s="86" t="s">
        <v>48</v>
      </c>
      <c r="C27" s="94">
        <v>825</v>
      </c>
      <c r="D27" s="88" t="s">
        <v>49</v>
      </c>
      <c r="E27" s="89">
        <f t="shared" si="19"/>
        <v>354988.98041000002</v>
      </c>
      <c r="F27" s="90">
        <f>149.4+336505.38041</f>
        <v>336654.78041000001</v>
      </c>
      <c r="G27" s="90">
        <f>34.2+17800</f>
        <v>17834.200000000001</v>
      </c>
      <c r="H27" s="89">
        <v>500</v>
      </c>
      <c r="I27" s="95"/>
      <c r="J27" s="90"/>
      <c r="K27" s="89">
        <f t="shared" si="20"/>
        <v>0</v>
      </c>
      <c r="L27" s="90"/>
      <c r="M27" s="90"/>
      <c r="N27" s="90"/>
      <c r="O27" s="89">
        <f t="shared" si="21"/>
        <v>336654.78041000001</v>
      </c>
      <c r="P27" s="89">
        <f t="shared" si="22"/>
        <v>500</v>
      </c>
      <c r="Q27" s="91">
        <f t="shared" si="9"/>
        <v>0</v>
      </c>
      <c r="R27" s="91">
        <f t="shared" si="17"/>
        <v>0</v>
      </c>
      <c r="S27" s="92" t="s">
        <v>50</v>
      </c>
    </row>
    <row r="28" ht="47.25" customHeight="1">
      <c r="A28" s="85"/>
      <c r="B28" s="86" t="s">
        <v>51</v>
      </c>
      <c r="C28" s="96" t="s">
        <v>52</v>
      </c>
      <c r="D28" s="88" t="s">
        <v>36</v>
      </c>
      <c r="E28" s="89">
        <f t="shared" si="19"/>
        <v>63080.412389999998</v>
      </c>
      <c r="F28" s="89">
        <f>50131.6+12948.81239</f>
        <v>63080.412389999998</v>
      </c>
      <c r="G28" s="89"/>
      <c r="H28" s="89"/>
      <c r="I28" s="89"/>
      <c r="J28" s="89">
        <v>18357.287510000002</v>
      </c>
      <c r="K28" s="89">
        <f t="shared" si="20"/>
        <v>18357.287509999998</v>
      </c>
      <c r="L28" s="89">
        <f>18357.28751</f>
        <v>18357.287509999998</v>
      </c>
      <c r="M28" s="89"/>
      <c r="N28" s="89"/>
      <c r="O28" s="89">
        <f t="shared" si="21"/>
        <v>44723.124880000003</v>
      </c>
      <c r="P28" s="89">
        <f t="shared" si="22"/>
        <v>0</v>
      </c>
      <c r="Q28" s="91">
        <f t="shared" si="9"/>
        <v>0.29101406941515395</v>
      </c>
      <c r="R28" s="91"/>
      <c r="S28" s="92" t="s">
        <v>53</v>
      </c>
    </row>
    <row r="29" ht="45" customHeight="1">
      <c r="A29" s="85" t="s">
        <v>54</v>
      </c>
      <c r="B29" s="86" t="s">
        <v>55</v>
      </c>
      <c r="C29" s="96" t="s">
        <v>56</v>
      </c>
      <c r="D29" s="88" t="s">
        <v>36</v>
      </c>
      <c r="E29" s="89">
        <f t="shared" si="19"/>
        <v>383000</v>
      </c>
      <c r="F29" s="89">
        <v>383000</v>
      </c>
      <c r="G29" s="89"/>
      <c r="H29" s="89"/>
      <c r="I29" s="89"/>
      <c r="J29" s="89">
        <v>117</v>
      </c>
      <c r="K29" s="89">
        <f t="shared" si="20"/>
        <v>30604.431359999999</v>
      </c>
      <c r="L29" s="89">
        <f>30407.42023+80.01113+117</f>
        <v>30604.431359999999</v>
      </c>
      <c r="M29" s="89"/>
      <c r="N29" s="89"/>
      <c r="O29" s="89">
        <f t="shared" si="21"/>
        <v>352395.56864000001</v>
      </c>
      <c r="P29" s="89">
        <f t="shared" si="22"/>
        <v>0</v>
      </c>
      <c r="Q29" s="91">
        <f t="shared" si="9"/>
        <v>0.079907131488250654</v>
      </c>
      <c r="R29" s="91"/>
      <c r="S29" s="92" t="s">
        <v>57</v>
      </c>
    </row>
    <row r="30" ht="39" customHeight="1">
      <c r="A30" s="79"/>
      <c r="B30" s="79" t="s">
        <v>28</v>
      </c>
      <c r="C30" s="97">
        <f>SUM(C34:C41)</f>
        <v>2490</v>
      </c>
      <c r="D30" s="82"/>
      <c r="E30" s="82">
        <f>SUM(E31:E41)</f>
        <v>2610014.605</v>
      </c>
      <c r="F30" s="82">
        <f t="shared" ref="F30:P30" si="23">SUM(F31:F41)</f>
        <v>2296094.7000000002</v>
      </c>
      <c r="G30" s="82">
        <f t="shared" si="23"/>
        <v>39324.804999999993</v>
      </c>
      <c r="H30" s="82">
        <f t="shared" si="23"/>
        <v>274595.09999999998</v>
      </c>
      <c r="I30" s="82">
        <f t="shared" si="23"/>
        <v>0</v>
      </c>
      <c r="J30" s="82">
        <f t="shared" si="23"/>
        <v>50177.010969999996</v>
      </c>
      <c r="K30" s="82">
        <f t="shared" si="23"/>
        <v>327077.72485</v>
      </c>
      <c r="L30" s="82">
        <f t="shared" si="23"/>
        <v>325430.71960000001</v>
      </c>
      <c r="M30" s="82">
        <f t="shared" si="23"/>
        <v>1647.0052499999999</v>
      </c>
      <c r="N30" s="82">
        <f t="shared" si="23"/>
        <v>0</v>
      </c>
      <c r="O30" s="82">
        <f t="shared" si="23"/>
        <v>1970663.9803999998</v>
      </c>
      <c r="P30" s="82">
        <f t="shared" si="23"/>
        <v>274595.09999999998</v>
      </c>
      <c r="Q30" s="83">
        <f t="shared" si="9"/>
        <v>0.14173227245374503</v>
      </c>
      <c r="R30" s="83"/>
      <c r="S30" s="98"/>
    </row>
    <row r="31" ht="44.25" customHeight="1">
      <c r="A31" s="99"/>
      <c r="B31" s="86" t="s">
        <v>58</v>
      </c>
      <c r="C31" s="94">
        <v>550</v>
      </c>
      <c r="D31" s="88" t="s">
        <v>36</v>
      </c>
      <c r="E31" s="89">
        <f t="shared" ref="E31:E41" si="24">F31+G31+H31</f>
        <v>362546.90000000002</v>
      </c>
      <c r="F31" s="90">
        <v>362546.90000000002</v>
      </c>
      <c r="G31" s="90"/>
      <c r="H31" s="89"/>
      <c r="I31" s="89"/>
      <c r="J31" s="90"/>
      <c r="K31" s="89">
        <f t="shared" ref="K31:K41" si="25">L31+M31+N31</f>
        <v>0</v>
      </c>
      <c r="L31" s="90"/>
      <c r="M31" s="90"/>
      <c r="N31" s="90"/>
      <c r="O31" s="89">
        <f t="shared" ref="O31:O41" si="26">F31-L31</f>
        <v>362546.90000000002</v>
      </c>
      <c r="P31" s="89">
        <f t="shared" ref="P31:P41" si="27">H31-N31</f>
        <v>0</v>
      </c>
      <c r="Q31" s="91">
        <f t="shared" si="9"/>
        <v>0</v>
      </c>
      <c r="R31" s="91"/>
      <c r="S31" s="92" t="s">
        <v>59</v>
      </c>
    </row>
    <row r="32" ht="87" customHeight="1">
      <c r="A32" s="99"/>
      <c r="B32" s="86" t="s">
        <v>60</v>
      </c>
      <c r="C32" s="94">
        <v>250</v>
      </c>
      <c r="D32" s="88" t="s">
        <v>49</v>
      </c>
      <c r="E32" s="89">
        <f t="shared" si="24"/>
        <v>509229.39999999997</v>
      </c>
      <c r="F32" s="90">
        <f>4122.1+380654.2</f>
        <v>384776.29999999999</v>
      </c>
      <c r="G32" s="90">
        <f>5423.8+20100</f>
        <v>25523.799999999999</v>
      </c>
      <c r="H32" s="89">
        <v>98929.300000000003</v>
      </c>
      <c r="I32" s="89"/>
      <c r="J32" s="90">
        <f>10322.26569+12339.81518+18415.46949+9099.46061</f>
        <v>50177.010969999996</v>
      </c>
      <c r="K32" s="89">
        <f t="shared" si="25"/>
        <v>32899.772490000003</v>
      </c>
      <c r="L32" s="90">
        <f>15822.77699+9076.70183+6353.28842</f>
        <v>31252.767240000001</v>
      </c>
      <c r="M32" s="90">
        <f>1647.00525</f>
        <v>1647.0052499999999</v>
      </c>
      <c r="N32" s="90"/>
      <c r="O32" s="89">
        <f t="shared" si="26"/>
        <v>353523.53275999997</v>
      </c>
      <c r="P32" s="89">
        <f t="shared" si="27"/>
        <v>98929.300000000003</v>
      </c>
      <c r="Q32" s="91">
        <f t="shared" si="9"/>
        <v>0.081223212656288873</v>
      </c>
      <c r="R32" s="91">
        <f t="shared" si="17"/>
        <v>0</v>
      </c>
      <c r="S32" s="92" t="s">
        <v>61</v>
      </c>
    </row>
    <row r="33" ht="54.75" customHeight="1">
      <c r="A33" s="99" t="s">
        <v>62</v>
      </c>
      <c r="B33" s="86" t="s">
        <v>63</v>
      </c>
      <c r="C33" s="94">
        <v>650</v>
      </c>
      <c r="D33" s="88" t="s">
        <v>49</v>
      </c>
      <c r="E33" s="89">
        <f t="shared" si="24"/>
        <v>192616.19999999998</v>
      </c>
      <c r="F33" s="90">
        <v>7319.5</v>
      </c>
      <c r="G33" s="90">
        <v>9630.8999999999996</v>
      </c>
      <c r="H33" s="89">
        <v>175665.79999999999</v>
      </c>
      <c r="I33" s="89"/>
      <c r="J33" s="90"/>
      <c r="K33" s="89">
        <f t="shared" si="25"/>
        <v>0</v>
      </c>
      <c r="L33" s="90"/>
      <c r="M33" s="90"/>
      <c r="N33" s="90"/>
      <c r="O33" s="89">
        <f t="shared" si="26"/>
        <v>7319.5</v>
      </c>
      <c r="P33" s="89">
        <f t="shared" si="27"/>
        <v>175665.79999999999</v>
      </c>
      <c r="Q33" s="91">
        <f t="shared" si="9"/>
        <v>0</v>
      </c>
      <c r="R33" s="91">
        <f t="shared" si="17"/>
        <v>0</v>
      </c>
      <c r="S33" s="92" t="s">
        <v>64</v>
      </c>
    </row>
    <row r="34" ht="60" customHeight="1">
      <c r="A34" s="99" t="s">
        <v>65</v>
      </c>
      <c r="B34" s="86" t="s">
        <v>66</v>
      </c>
      <c r="C34" s="94">
        <v>680</v>
      </c>
      <c r="D34" s="88" t="s">
        <v>67</v>
      </c>
      <c r="E34" s="89">
        <f t="shared" si="24"/>
        <v>219479.20500000002</v>
      </c>
      <c r="F34" s="90">
        <v>215309.10000000001</v>
      </c>
      <c r="G34" s="90">
        <v>4170.1049999999996</v>
      </c>
      <c r="H34" s="89"/>
      <c r="I34" s="89"/>
      <c r="J34" s="89"/>
      <c r="K34" s="89">
        <f t="shared" si="25"/>
        <v>0</v>
      </c>
      <c r="L34" s="89"/>
      <c r="M34" s="89"/>
      <c r="N34" s="89"/>
      <c r="O34" s="89">
        <f t="shared" si="26"/>
        <v>215309.10000000001</v>
      </c>
      <c r="P34" s="89">
        <f t="shared" si="27"/>
        <v>0</v>
      </c>
      <c r="Q34" s="100">
        <f t="shared" si="9"/>
        <v>0</v>
      </c>
      <c r="R34" s="91"/>
      <c r="S34" s="92" t="s">
        <v>46</v>
      </c>
    </row>
    <row r="35" ht="42" customHeight="1">
      <c r="A35" s="99" t="s">
        <v>68</v>
      </c>
      <c r="B35" s="86" t="s">
        <v>69</v>
      </c>
      <c r="C35" s="94">
        <v>100</v>
      </c>
      <c r="D35" s="88" t="s">
        <v>36</v>
      </c>
      <c r="E35" s="89">
        <f t="shared" si="24"/>
        <v>525614.19999999995</v>
      </c>
      <c r="F35" s="90">
        <v>525614.19999999995</v>
      </c>
      <c r="G35" s="90"/>
      <c r="H35" s="89"/>
      <c r="I35" s="89"/>
      <c r="J35" s="89"/>
      <c r="K35" s="89">
        <f t="shared" si="25"/>
        <v>0</v>
      </c>
      <c r="L35" s="89"/>
      <c r="M35" s="89"/>
      <c r="N35" s="89"/>
      <c r="O35" s="89">
        <f t="shared" si="26"/>
        <v>525614.19999999995</v>
      </c>
      <c r="P35" s="89">
        <f t="shared" si="27"/>
        <v>0</v>
      </c>
      <c r="Q35" s="91">
        <f t="shared" si="9"/>
        <v>0</v>
      </c>
      <c r="R35" s="91"/>
      <c r="S35" s="92" t="s">
        <v>70</v>
      </c>
    </row>
    <row r="36" ht="40.5" customHeight="1">
      <c r="A36" s="99" t="s">
        <v>71</v>
      </c>
      <c r="B36" s="86" t="s">
        <v>72</v>
      </c>
      <c r="C36" s="94">
        <v>550</v>
      </c>
      <c r="D36" s="88" t="s">
        <v>36</v>
      </c>
      <c r="E36" s="89">
        <f t="shared" si="24"/>
        <v>684174.09999999998</v>
      </c>
      <c r="F36" s="90">
        <v>684174.09999999998</v>
      </c>
      <c r="G36" s="90"/>
      <c r="H36" s="89"/>
      <c r="I36" s="89"/>
      <c r="J36" s="90"/>
      <c r="K36" s="89">
        <f t="shared" si="25"/>
        <v>292129.93807999999</v>
      </c>
      <c r="L36" s="89">
        <f>292129.93808</f>
        <v>292129.93807999999</v>
      </c>
      <c r="M36" s="89"/>
      <c r="N36" s="89"/>
      <c r="O36" s="89">
        <f t="shared" si="26"/>
        <v>392044.16191999998</v>
      </c>
      <c r="P36" s="89">
        <f t="shared" si="27"/>
        <v>0</v>
      </c>
      <c r="Q36" s="91">
        <f t="shared" si="9"/>
        <v>0.42698187212874616</v>
      </c>
      <c r="R36" s="91"/>
      <c r="S36" s="92" t="s">
        <v>70</v>
      </c>
    </row>
    <row r="37" ht="43.5" customHeight="1">
      <c r="A37" s="99" t="s">
        <v>73</v>
      </c>
      <c r="B37" s="86" t="s">
        <v>74</v>
      </c>
      <c r="C37" s="94">
        <v>550</v>
      </c>
      <c r="D37" s="88" t="s">
        <v>36</v>
      </c>
      <c r="E37" s="89">
        <f t="shared" si="24"/>
        <v>59524.699999999997</v>
      </c>
      <c r="F37" s="90">
        <v>59524.699999999997</v>
      </c>
      <c r="G37" s="90"/>
      <c r="H37" s="89"/>
      <c r="I37" s="89"/>
      <c r="J37" s="89"/>
      <c r="K37" s="89">
        <f t="shared" si="25"/>
        <v>2048.0142799999999</v>
      </c>
      <c r="L37" s="89">
        <f>51.5016+1996.51268</f>
        <v>2048.0142799999999</v>
      </c>
      <c r="M37" s="89"/>
      <c r="N37" s="89"/>
      <c r="O37" s="89">
        <f t="shared" si="26"/>
        <v>57476.685719999994</v>
      </c>
      <c r="P37" s="89">
        <f t="shared" si="27"/>
        <v>0</v>
      </c>
      <c r="Q37" s="91">
        <f t="shared" si="9"/>
        <v>0.034406125188367179</v>
      </c>
      <c r="R37" s="91"/>
      <c r="S37" s="92" t="s">
        <v>64</v>
      </c>
    </row>
    <row r="38" ht="39" customHeight="1">
      <c r="A38" s="99" t="s">
        <v>75</v>
      </c>
      <c r="B38" s="86" t="s">
        <v>76</v>
      </c>
      <c r="C38" s="94">
        <v>300</v>
      </c>
      <c r="D38" s="88" t="s">
        <v>36</v>
      </c>
      <c r="E38" s="89">
        <f t="shared" si="24"/>
        <v>11513.700000000001</v>
      </c>
      <c r="F38" s="90">
        <v>11513.700000000001</v>
      </c>
      <c r="G38" s="90"/>
      <c r="H38" s="89"/>
      <c r="I38" s="89"/>
      <c r="J38" s="89"/>
      <c r="K38" s="89">
        <f t="shared" si="25"/>
        <v>0</v>
      </c>
      <c r="L38" s="89"/>
      <c r="M38" s="89"/>
      <c r="N38" s="89"/>
      <c r="O38" s="89">
        <f t="shared" si="26"/>
        <v>11513.700000000001</v>
      </c>
      <c r="P38" s="89">
        <f t="shared" si="27"/>
        <v>0</v>
      </c>
      <c r="Q38" s="91">
        <f t="shared" si="9"/>
        <v>0</v>
      </c>
      <c r="R38" s="91"/>
      <c r="S38" s="92" t="s">
        <v>77</v>
      </c>
    </row>
    <row r="39" ht="38.25" customHeight="1">
      <c r="A39" s="99" t="s">
        <v>78</v>
      </c>
      <c r="B39" s="86" t="s">
        <v>79</v>
      </c>
      <c r="C39" s="94">
        <v>250</v>
      </c>
      <c r="D39" s="88" t="s">
        <v>36</v>
      </c>
      <c r="E39" s="89">
        <f t="shared" si="24"/>
        <v>14484.4</v>
      </c>
      <c r="F39" s="90">
        <v>14484.4</v>
      </c>
      <c r="G39" s="90"/>
      <c r="H39" s="89"/>
      <c r="I39" s="89"/>
      <c r="J39" s="89"/>
      <c r="K39" s="89">
        <f t="shared" si="25"/>
        <v>0</v>
      </c>
      <c r="L39" s="89"/>
      <c r="M39" s="89"/>
      <c r="N39" s="89"/>
      <c r="O39" s="89">
        <f t="shared" si="26"/>
        <v>14484.4</v>
      </c>
      <c r="P39" s="89">
        <f t="shared" si="27"/>
        <v>0</v>
      </c>
      <c r="Q39" s="91">
        <f t="shared" si="9"/>
        <v>0</v>
      </c>
      <c r="R39" s="91"/>
      <c r="S39" s="92" t="s">
        <v>61</v>
      </c>
    </row>
    <row r="40" ht="42.75" customHeight="1">
      <c r="A40" s="101"/>
      <c r="B40" s="86" t="s">
        <v>80</v>
      </c>
      <c r="C40" s="94"/>
      <c r="D40" s="88" t="s">
        <v>36</v>
      </c>
      <c r="E40" s="89">
        <f t="shared" si="24"/>
        <v>25000</v>
      </c>
      <c r="F40" s="90">
        <v>25000</v>
      </c>
      <c r="G40" s="90"/>
      <c r="H40" s="89"/>
      <c r="I40" s="89"/>
      <c r="J40" s="89"/>
      <c r="K40" s="89">
        <f t="shared" si="25"/>
        <v>0</v>
      </c>
      <c r="L40" s="89"/>
      <c r="M40" s="89"/>
      <c r="N40" s="89"/>
      <c r="O40" s="89">
        <f t="shared" si="26"/>
        <v>25000</v>
      </c>
      <c r="P40" s="89">
        <f t="shared" si="27"/>
        <v>0</v>
      </c>
      <c r="Q40" s="91">
        <f t="shared" si="9"/>
        <v>0</v>
      </c>
      <c r="R40" s="91"/>
      <c r="S40" s="92"/>
    </row>
    <row r="41" ht="45" customHeight="1">
      <c r="A41" s="99" t="s">
        <v>81</v>
      </c>
      <c r="B41" s="86" t="s">
        <v>82</v>
      </c>
      <c r="C41" s="94">
        <v>60</v>
      </c>
      <c r="D41" s="88" t="s">
        <v>36</v>
      </c>
      <c r="E41" s="89">
        <f t="shared" si="24"/>
        <v>5831.8000000000002</v>
      </c>
      <c r="F41" s="90">
        <v>5831.8000000000002</v>
      </c>
      <c r="G41" s="90"/>
      <c r="H41" s="89"/>
      <c r="I41" s="89"/>
      <c r="J41" s="89"/>
      <c r="K41" s="89">
        <f t="shared" si="25"/>
        <v>0</v>
      </c>
      <c r="L41" s="89"/>
      <c r="M41" s="89"/>
      <c r="N41" s="89"/>
      <c r="O41" s="89">
        <f t="shared" si="26"/>
        <v>5831.8000000000002</v>
      </c>
      <c r="P41" s="89">
        <f t="shared" si="27"/>
        <v>0</v>
      </c>
      <c r="Q41" s="91">
        <f t="shared" si="9"/>
        <v>0</v>
      </c>
      <c r="R41" s="91"/>
      <c r="S41" s="92" t="s">
        <v>83</v>
      </c>
    </row>
    <row r="42" ht="31.5">
      <c r="A42" s="102"/>
      <c r="B42" s="102" t="s">
        <v>84</v>
      </c>
      <c r="C42" s="103"/>
      <c r="D42" s="102"/>
      <c r="E42" s="104"/>
      <c r="F42" s="104"/>
      <c r="G42" s="104"/>
      <c r="H42" s="104"/>
      <c r="I42" s="104"/>
      <c r="J42" s="104"/>
      <c r="K42" s="104"/>
      <c r="L42" s="104"/>
      <c r="M42" s="104"/>
      <c r="N42" s="104"/>
      <c r="O42" s="104"/>
      <c r="P42" s="104"/>
      <c r="Q42" s="105"/>
      <c r="R42" s="106"/>
      <c r="S42" s="107"/>
    </row>
    <row r="43" ht="55.5" customHeight="1">
      <c r="A43" s="74"/>
      <c r="B43" s="74" t="s">
        <v>85</v>
      </c>
      <c r="C43" s="108"/>
      <c r="D43" s="76"/>
      <c r="E43" s="76">
        <f>E45+E46+E47+E48+E49+E50+E51+E52+E53+E54+E123</f>
        <v>2448104.0937399995</v>
      </c>
      <c r="F43" s="76">
        <f t="shared" ref="F43:P43" si="28">F45+F46+F47+F48+F49+F50+F51+F52+F53+F54+F123</f>
        <v>2448104.0937399995</v>
      </c>
      <c r="G43" s="76">
        <f t="shared" si="28"/>
        <v>0</v>
      </c>
      <c r="H43" s="76">
        <f t="shared" si="28"/>
        <v>0</v>
      </c>
      <c r="I43" s="76">
        <f t="shared" si="28"/>
        <v>0</v>
      </c>
      <c r="J43" s="76">
        <f t="shared" si="28"/>
        <v>101709.13416</v>
      </c>
      <c r="K43" s="76">
        <f t="shared" si="28"/>
        <v>45972.097420000006</v>
      </c>
      <c r="L43" s="76">
        <f t="shared" si="28"/>
        <v>45972.097420000006</v>
      </c>
      <c r="M43" s="76">
        <f t="shared" si="28"/>
        <v>0</v>
      </c>
      <c r="N43" s="76">
        <f t="shared" si="28"/>
        <v>0</v>
      </c>
      <c r="O43" s="76">
        <f t="shared" si="28"/>
        <v>2402131.9963199999</v>
      </c>
      <c r="P43" s="76">
        <f t="shared" si="28"/>
        <v>0</v>
      </c>
      <c r="Q43" s="109">
        <f t="shared" si="9"/>
        <v>0.018778653055462138</v>
      </c>
      <c r="R43" s="109"/>
      <c r="S43" s="110"/>
    </row>
    <row r="44" ht="25.5" customHeight="1">
      <c r="A44" s="79"/>
      <c r="B44" s="79" t="s">
        <v>32</v>
      </c>
      <c r="C44" s="111"/>
      <c r="D44" s="82"/>
      <c r="E44" s="82">
        <f>E45+E46+E47+E48+E49+E50+E51+E52+E53+E55</f>
        <v>1450435.81556</v>
      </c>
      <c r="F44" s="82">
        <f t="shared" ref="F44:P44" si="29">F45+F46+F47+F48+F49+F50+F51+F52+F53+F55</f>
        <v>1450435.81556</v>
      </c>
      <c r="G44" s="82">
        <f t="shared" si="29"/>
        <v>0</v>
      </c>
      <c r="H44" s="82">
        <f t="shared" si="29"/>
        <v>0</v>
      </c>
      <c r="I44" s="82">
        <f t="shared" si="29"/>
        <v>0</v>
      </c>
      <c r="J44" s="82">
        <f t="shared" si="29"/>
        <v>95194.375650000002</v>
      </c>
      <c r="K44" s="82">
        <f t="shared" si="29"/>
        <v>39397.211800000005</v>
      </c>
      <c r="L44" s="82">
        <f t="shared" si="29"/>
        <v>39397.211800000005</v>
      </c>
      <c r="M44" s="82">
        <f t="shared" si="29"/>
        <v>0</v>
      </c>
      <c r="N44" s="82">
        <f t="shared" si="29"/>
        <v>0</v>
      </c>
      <c r="O44" s="82">
        <f t="shared" si="29"/>
        <v>1411038.6037599999</v>
      </c>
      <c r="P44" s="82">
        <f t="shared" si="29"/>
        <v>0</v>
      </c>
      <c r="Q44" s="83">
        <f t="shared" si="9"/>
        <v>0.027162326920884189</v>
      </c>
      <c r="R44" s="83"/>
      <c r="S44" s="112"/>
    </row>
    <row r="45" ht="66.75" customHeight="1">
      <c r="A45" s="85" t="s">
        <v>86</v>
      </c>
      <c r="B45" s="86" t="s">
        <v>87</v>
      </c>
      <c r="C45" s="113" t="s">
        <v>35</v>
      </c>
      <c r="D45" s="114" t="s">
        <v>36</v>
      </c>
      <c r="E45" s="89">
        <f t="shared" ref="E45:E53" si="30">F45+G45+H45</f>
        <v>2500</v>
      </c>
      <c r="F45" s="89">
        <v>2500</v>
      </c>
      <c r="G45" s="115"/>
      <c r="H45" s="115"/>
      <c r="I45" s="89"/>
      <c r="J45" s="90"/>
      <c r="K45" s="89">
        <f t="shared" ref="K45:K53" si="31">L45+M45+N45</f>
        <v>0.73516999999999999</v>
      </c>
      <c r="L45" s="89">
        <f>0.73517</f>
        <v>0.73516999999999999</v>
      </c>
      <c r="M45" s="89"/>
      <c r="N45" s="89"/>
      <c r="O45" s="89">
        <f t="shared" ref="O45:O53" si="32">F45-L45</f>
        <v>2499.2648300000001</v>
      </c>
      <c r="P45" s="89">
        <f t="shared" ref="P45:P53" si="33">H45-N45</f>
        <v>0</v>
      </c>
      <c r="Q45" s="91">
        <f t="shared" si="9"/>
        <v>0.00029406799999999998</v>
      </c>
      <c r="R45" s="91"/>
      <c r="S45" s="92" t="s">
        <v>88</v>
      </c>
    </row>
    <row r="46" ht="39.75" customHeight="1">
      <c r="A46" s="85" t="s">
        <v>89</v>
      </c>
      <c r="B46" s="86" t="s">
        <v>90</v>
      </c>
      <c r="C46" s="113" t="s">
        <v>35</v>
      </c>
      <c r="D46" s="88" t="s">
        <v>36</v>
      </c>
      <c r="E46" s="89">
        <f t="shared" si="30"/>
        <v>16.600000000000001</v>
      </c>
      <c r="F46" s="90">
        <v>16.600000000000001</v>
      </c>
      <c r="G46" s="90"/>
      <c r="H46" s="90"/>
      <c r="I46" s="90"/>
      <c r="J46" s="90"/>
      <c r="K46" s="89">
        <f t="shared" si="31"/>
        <v>0</v>
      </c>
      <c r="L46" s="90"/>
      <c r="M46" s="90"/>
      <c r="N46" s="90"/>
      <c r="O46" s="89">
        <f t="shared" si="32"/>
        <v>16.600000000000001</v>
      </c>
      <c r="P46" s="89">
        <f t="shared" si="33"/>
        <v>0</v>
      </c>
      <c r="Q46" s="91">
        <f t="shared" si="9"/>
        <v>0</v>
      </c>
      <c r="R46" s="91"/>
      <c r="S46" s="92" t="s">
        <v>91</v>
      </c>
    </row>
    <row r="47" ht="39.75" customHeight="1">
      <c r="A47" s="85" t="s">
        <v>92</v>
      </c>
      <c r="B47" s="86" t="s">
        <v>93</v>
      </c>
      <c r="C47" s="113" t="s">
        <v>35</v>
      </c>
      <c r="D47" s="88" t="s">
        <v>36</v>
      </c>
      <c r="E47" s="89">
        <f t="shared" si="30"/>
        <v>288.39999999999998</v>
      </c>
      <c r="F47" s="90">
        <v>288.39999999999998</v>
      </c>
      <c r="G47" s="90"/>
      <c r="H47" s="90"/>
      <c r="I47" s="90"/>
      <c r="J47" s="90">
        <v>2726.9939800000002</v>
      </c>
      <c r="K47" s="89">
        <f t="shared" si="31"/>
        <v>272.69940000000003</v>
      </c>
      <c r="L47" s="90">
        <f>272.6994</f>
        <v>272.69940000000003</v>
      </c>
      <c r="M47" s="90"/>
      <c r="N47" s="90"/>
      <c r="O47" s="89">
        <f t="shared" si="32"/>
        <v>15.700599999999952</v>
      </c>
      <c r="P47" s="89">
        <f t="shared" si="33"/>
        <v>0</v>
      </c>
      <c r="Q47" s="91">
        <f t="shared" si="9"/>
        <v>0.94555963938973664</v>
      </c>
      <c r="R47" s="91"/>
      <c r="S47" s="92" t="s">
        <v>94</v>
      </c>
    </row>
    <row r="48" ht="44.25" customHeight="1">
      <c r="A48" s="85"/>
      <c r="B48" s="86" t="s">
        <v>95</v>
      </c>
      <c r="C48" s="113" t="s">
        <v>35</v>
      </c>
      <c r="D48" s="88" t="s">
        <v>36</v>
      </c>
      <c r="E48" s="89">
        <f t="shared" si="30"/>
        <v>1416.3887</v>
      </c>
      <c r="F48" s="90">
        <v>1416.3887</v>
      </c>
      <c r="G48" s="90"/>
      <c r="H48" s="90"/>
      <c r="I48" s="90"/>
      <c r="J48" s="90">
        <v>3971.7008700000001</v>
      </c>
      <c r="K48" s="89">
        <f t="shared" si="31"/>
        <v>1416.3887</v>
      </c>
      <c r="L48" s="90">
        <f>1416.3887</f>
        <v>1416.3887</v>
      </c>
      <c r="M48" s="90"/>
      <c r="N48" s="90"/>
      <c r="O48" s="89">
        <f t="shared" si="32"/>
        <v>0</v>
      </c>
      <c r="P48" s="89">
        <f t="shared" si="33"/>
        <v>0</v>
      </c>
      <c r="Q48" s="91">
        <f t="shared" si="9"/>
        <v>1</v>
      </c>
      <c r="R48" s="91"/>
      <c r="S48" s="92"/>
    </row>
    <row r="49" ht="41.25" customHeight="1">
      <c r="A49" s="85"/>
      <c r="B49" s="86" t="s">
        <v>96</v>
      </c>
      <c r="C49" s="116" t="s">
        <v>97</v>
      </c>
      <c r="D49" s="88" t="s">
        <v>36</v>
      </c>
      <c r="E49" s="89">
        <f t="shared" si="30"/>
        <v>57576.199999999997</v>
      </c>
      <c r="F49" s="90">
        <v>57576.199999999997</v>
      </c>
      <c r="G49" s="90"/>
      <c r="H49" s="90"/>
      <c r="I49" s="90"/>
      <c r="J49" s="90">
        <v>59157.620200000005</v>
      </c>
      <c r="K49" s="89">
        <f t="shared" si="31"/>
        <v>9329.1567099999993</v>
      </c>
      <c r="L49" s="90">
        <f>3549.97113+5779.18558</f>
        <v>9329.1567099999993</v>
      </c>
      <c r="M49" s="90"/>
      <c r="N49" s="90"/>
      <c r="O49" s="89">
        <f t="shared" si="32"/>
        <v>48247.043290000001</v>
      </c>
      <c r="P49" s="89">
        <f t="shared" si="33"/>
        <v>0</v>
      </c>
      <c r="Q49" s="91">
        <f t="shared" si="9"/>
        <v>0.16203147672128415</v>
      </c>
      <c r="R49" s="91"/>
      <c r="S49" s="92" t="s">
        <v>98</v>
      </c>
    </row>
    <row r="50" ht="45" customHeight="1">
      <c r="A50" s="85" t="s">
        <v>89</v>
      </c>
      <c r="B50" s="86" t="s">
        <v>99</v>
      </c>
      <c r="C50" s="117" t="s">
        <v>100</v>
      </c>
      <c r="D50" s="114" t="s">
        <v>36</v>
      </c>
      <c r="E50" s="89">
        <f t="shared" si="30"/>
        <v>337548.09999999998</v>
      </c>
      <c r="F50" s="89">
        <v>337548.09999999998</v>
      </c>
      <c r="G50" s="115"/>
      <c r="H50" s="89"/>
      <c r="I50" s="89"/>
      <c r="J50" s="90">
        <v>3750.1175999999996</v>
      </c>
      <c r="K50" s="89">
        <f t="shared" si="31"/>
        <v>3150.01235</v>
      </c>
      <c r="L50" s="89">
        <f>3150.01235</f>
        <v>3150.01235</v>
      </c>
      <c r="M50" s="115"/>
      <c r="N50" s="115"/>
      <c r="O50" s="89">
        <f t="shared" si="32"/>
        <v>334398.08765</v>
      </c>
      <c r="P50" s="89">
        <f t="shared" si="33"/>
        <v>0</v>
      </c>
      <c r="Q50" s="91">
        <f t="shared" si="9"/>
        <v>0.0093320399374192901</v>
      </c>
      <c r="R50" s="91"/>
      <c r="S50" s="92" t="s">
        <v>43</v>
      </c>
    </row>
    <row r="51" ht="39.75" customHeight="1">
      <c r="A51" s="85"/>
      <c r="B51" s="86" t="s">
        <v>101</v>
      </c>
      <c r="C51" s="116"/>
      <c r="D51" s="88" t="s">
        <v>36</v>
      </c>
      <c r="E51" s="89">
        <f t="shared" si="30"/>
        <v>30000</v>
      </c>
      <c r="F51" s="90">
        <v>30000</v>
      </c>
      <c r="G51" s="90"/>
      <c r="H51" s="90"/>
      <c r="I51" s="90"/>
      <c r="J51" s="90"/>
      <c r="K51" s="89">
        <f t="shared" si="31"/>
        <v>0</v>
      </c>
      <c r="L51" s="90"/>
      <c r="M51" s="90"/>
      <c r="N51" s="90"/>
      <c r="O51" s="89">
        <f t="shared" si="32"/>
        <v>30000</v>
      </c>
      <c r="P51" s="89">
        <f t="shared" si="33"/>
        <v>0</v>
      </c>
      <c r="Q51" s="91">
        <f t="shared" si="9"/>
        <v>0</v>
      </c>
      <c r="R51" s="91"/>
      <c r="S51" s="92" t="s">
        <v>102</v>
      </c>
    </row>
    <row r="52" ht="70.5" customHeight="1">
      <c r="A52" s="85" t="s">
        <v>103</v>
      </c>
      <c r="B52" s="86" t="s">
        <v>104</v>
      </c>
      <c r="C52" s="117"/>
      <c r="D52" s="114" t="s">
        <v>36</v>
      </c>
      <c r="E52" s="89">
        <f t="shared" si="30"/>
        <v>61262</v>
      </c>
      <c r="F52" s="89">
        <v>61262</v>
      </c>
      <c r="G52" s="115"/>
      <c r="H52" s="89"/>
      <c r="I52" s="89"/>
      <c r="J52" s="90"/>
      <c r="K52" s="89">
        <f t="shared" si="31"/>
        <v>0</v>
      </c>
      <c r="L52" s="89"/>
      <c r="M52" s="115"/>
      <c r="N52" s="115"/>
      <c r="O52" s="89">
        <f t="shared" si="32"/>
        <v>61262</v>
      </c>
      <c r="P52" s="89">
        <f t="shared" si="33"/>
        <v>0</v>
      </c>
      <c r="Q52" s="91">
        <f t="shared" si="9"/>
        <v>0</v>
      </c>
      <c r="R52" s="91"/>
      <c r="S52" s="92"/>
    </row>
    <row r="53" ht="39.75" customHeight="1">
      <c r="A53" s="85" t="s">
        <v>105</v>
      </c>
      <c r="B53" s="86" t="s">
        <v>106</v>
      </c>
      <c r="C53" s="117"/>
      <c r="D53" s="114" t="s">
        <v>36</v>
      </c>
      <c r="E53" s="89">
        <f t="shared" si="30"/>
        <v>113000</v>
      </c>
      <c r="F53" s="89">
        <v>113000</v>
      </c>
      <c r="G53" s="115"/>
      <c r="H53" s="89"/>
      <c r="I53" s="89"/>
      <c r="J53" s="90"/>
      <c r="K53" s="89">
        <f t="shared" si="31"/>
        <v>0</v>
      </c>
      <c r="L53" s="89"/>
      <c r="M53" s="115"/>
      <c r="N53" s="115"/>
      <c r="O53" s="89">
        <f t="shared" si="32"/>
        <v>113000</v>
      </c>
      <c r="P53" s="89">
        <f t="shared" si="33"/>
        <v>0</v>
      </c>
      <c r="Q53" s="91">
        <f t="shared" si="9"/>
        <v>0</v>
      </c>
      <c r="R53" s="91"/>
      <c r="S53" s="92"/>
    </row>
    <row r="54" ht="27.75" customHeight="1">
      <c r="A54" s="118"/>
      <c r="B54" s="118" t="s">
        <v>107</v>
      </c>
      <c r="C54" s="119"/>
      <c r="D54" s="120"/>
      <c r="E54" s="59">
        <f>E55+E87</f>
        <v>1267006.8268599999</v>
      </c>
      <c r="F54" s="59">
        <f t="shared" ref="F54:P54" si="34">F55+F87</f>
        <v>1267006.8268599999</v>
      </c>
      <c r="G54" s="59">
        <f t="shared" si="34"/>
        <v>0</v>
      </c>
      <c r="H54" s="59">
        <f t="shared" si="34"/>
        <v>0</v>
      </c>
      <c r="I54" s="59">
        <f t="shared" si="34"/>
        <v>0</v>
      </c>
      <c r="J54" s="59">
        <f t="shared" si="34"/>
        <v>26112.539799999999</v>
      </c>
      <c r="K54" s="59">
        <f t="shared" si="34"/>
        <v>25333.13883</v>
      </c>
      <c r="L54" s="59">
        <f t="shared" si="34"/>
        <v>25333.13883</v>
      </c>
      <c r="M54" s="59">
        <f t="shared" si="34"/>
        <v>0</v>
      </c>
      <c r="N54" s="59">
        <f t="shared" si="34"/>
        <v>0</v>
      </c>
      <c r="O54" s="59">
        <f t="shared" si="34"/>
        <v>1241673.6880299998</v>
      </c>
      <c r="P54" s="59">
        <f t="shared" si="34"/>
        <v>0</v>
      </c>
      <c r="Q54" s="60">
        <f t="shared" si="9"/>
        <v>0.019994476977509789</v>
      </c>
      <c r="R54" s="60"/>
      <c r="S54" s="121"/>
    </row>
    <row r="55" ht="24" customHeight="1">
      <c r="A55" s="122"/>
      <c r="B55" s="122" t="s">
        <v>108</v>
      </c>
      <c r="C55" s="123"/>
      <c r="D55" s="123"/>
      <c r="E55" s="52">
        <f>SUM(E56:E86)</f>
        <v>846828.12685999996</v>
      </c>
      <c r="F55" s="52">
        <f t="shared" ref="F55:P55" si="35">SUM(F56:F86)</f>
        <v>846828.12685999996</v>
      </c>
      <c r="G55" s="52">
        <f t="shared" si="35"/>
        <v>0</v>
      </c>
      <c r="H55" s="52">
        <f t="shared" si="35"/>
        <v>0</v>
      </c>
      <c r="I55" s="52">
        <f t="shared" si="35"/>
        <v>0</v>
      </c>
      <c r="J55" s="52">
        <f t="shared" si="35"/>
        <v>25587.942999999999</v>
      </c>
      <c r="K55" s="52">
        <f t="shared" si="35"/>
        <v>25228.21947</v>
      </c>
      <c r="L55" s="52">
        <f t="shared" si="35"/>
        <v>25228.21947</v>
      </c>
      <c r="M55" s="52">
        <f t="shared" si="35"/>
        <v>0</v>
      </c>
      <c r="N55" s="52">
        <f t="shared" si="35"/>
        <v>0</v>
      </c>
      <c r="O55" s="52">
        <f t="shared" si="35"/>
        <v>821599.90738999983</v>
      </c>
      <c r="P55" s="52">
        <f t="shared" si="35"/>
        <v>0</v>
      </c>
      <c r="Q55" s="54">
        <f t="shared" si="9"/>
        <v>0.029791428354588416</v>
      </c>
      <c r="R55" s="54"/>
      <c r="S55" s="54"/>
    </row>
    <row r="56" ht="66.75" customHeight="1">
      <c r="A56" s="85"/>
      <c r="B56" s="124" t="s">
        <v>109</v>
      </c>
      <c r="C56" s="87" t="s">
        <v>110</v>
      </c>
      <c r="D56" s="88" t="s">
        <v>36</v>
      </c>
      <c r="E56" s="89">
        <f t="shared" ref="E56:E106" si="36">F56+G56+H56</f>
        <v>5938</v>
      </c>
      <c r="F56" s="89">
        <v>5938</v>
      </c>
      <c r="G56" s="115"/>
      <c r="H56" s="89"/>
      <c r="I56" s="89"/>
      <c r="J56" s="90"/>
      <c r="K56" s="89">
        <f t="shared" ref="K56:K86" si="37">L56+M56+N56</f>
        <v>0</v>
      </c>
      <c r="L56" s="89"/>
      <c r="M56" s="115"/>
      <c r="N56" s="89"/>
      <c r="O56" s="89">
        <f t="shared" ref="O56:O86" si="38">F56-L56</f>
        <v>5938</v>
      </c>
      <c r="P56" s="89">
        <f t="shared" ref="P56:P86" si="39">H56-N56</f>
        <v>0</v>
      </c>
      <c r="Q56" s="91">
        <f t="shared" si="9"/>
        <v>0</v>
      </c>
      <c r="R56" s="91"/>
      <c r="S56" s="92" t="s">
        <v>111</v>
      </c>
    </row>
    <row r="57" ht="69.75" customHeight="1">
      <c r="A57" s="85" t="s">
        <v>112</v>
      </c>
      <c r="B57" s="124" t="s">
        <v>113</v>
      </c>
      <c r="C57" s="87" t="s">
        <v>110</v>
      </c>
      <c r="D57" s="88" t="s">
        <v>36</v>
      </c>
      <c r="E57" s="89">
        <f t="shared" si="36"/>
        <v>9133.7999999999993</v>
      </c>
      <c r="F57" s="89">
        <v>9133.7999999999993</v>
      </c>
      <c r="G57" s="115"/>
      <c r="H57" s="89"/>
      <c r="I57" s="89"/>
      <c r="J57" s="90"/>
      <c r="K57" s="89">
        <f t="shared" si="37"/>
        <v>0</v>
      </c>
      <c r="L57" s="89"/>
      <c r="M57" s="115"/>
      <c r="N57" s="89"/>
      <c r="O57" s="89">
        <f t="shared" si="38"/>
        <v>9133.7999999999993</v>
      </c>
      <c r="P57" s="89">
        <f t="shared" si="39"/>
        <v>0</v>
      </c>
      <c r="Q57" s="91">
        <f t="shared" si="9"/>
        <v>0</v>
      </c>
      <c r="R57" s="91"/>
      <c r="S57" s="92" t="s">
        <v>111</v>
      </c>
    </row>
    <row r="58" ht="81" customHeight="1">
      <c r="A58" s="85" t="s">
        <v>114</v>
      </c>
      <c r="B58" s="124" t="s">
        <v>115</v>
      </c>
      <c r="C58" s="116"/>
      <c r="D58" s="88" t="s">
        <v>36</v>
      </c>
      <c r="E58" s="89">
        <f t="shared" si="36"/>
        <v>25000</v>
      </c>
      <c r="F58" s="89">
        <v>25000</v>
      </c>
      <c r="G58" s="115"/>
      <c r="H58" s="89"/>
      <c r="I58" s="89"/>
      <c r="J58" s="90">
        <v>266.68978000000004</v>
      </c>
      <c r="K58" s="89">
        <f t="shared" si="37"/>
        <v>266.68977999999998</v>
      </c>
      <c r="L58" s="89">
        <f>266.68978</f>
        <v>266.68977999999998</v>
      </c>
      <c r="M58" s="115"/>
      <c r="N58" s="89"/>
      <c r="O58" s="89">
        <f t="shared" si="38"/>
        <v>24733.310219999999</v>
      </c>
      <c r="P58" s="89">
        <f t="shared" si="39"/>
        <v>0</v>
      </c>
      <c r="Q58" s="91">
        <f t="shared" si="9"/>
        <v>0.0106675912</v>
      </c>
      <c r="R58" s="91"/>
      <c r="S58" s="92" t="s">
        <v>116</v>
      </c>
    </row>
    <row r="59" ht="67.5" customHeight="1">
      <c r="A59" s="85" t="s">
        <v>117</v>
      </c>
      <c r="B59" s="124" t="s">
        <v>118</v>
      </c>
      <c r="C59" s="116"/>
      <c r="D59" s="88" t="s">
        <v>36</v>
      </c>
      <c r="E59" s="89">
        <f t="shared" si="36"/>
        <v>17948.820599999999</v>
      </c>
      <c r="F59" s="89">
        <f>10000+7948.8206</f>
        <v>17948.820599999999</v>
      </c>
      <c r="G59" s="115"/>
      <c r="H59" s="89"/>
      <c r="I59" s="89"/>
      <c r="J59" s="90"/>
      <c r="K59" s="89">
        <f t="shared" si="37"/>
        <v>0</v>
      </c>
      <c r="L59" s="89"/>
      <c r="M59" s="115"/>
      <c r="N59" s="89"/>
      <c r="O59" s="89">
        <f t="shared" si="38"/>
        <v>17948.820599999999</v>
      </c>
      <c r="P59" s="89">
        <f t="shared" si="39"/>
        <v>0</v>
      </c>
      <c r="Q59" s="91">
        <f t="shared" si="9"/>
        <v>0</v>
      </c>
      <c r="R59" s="91"/>
      <c r="S59" s="92" t="s">
        <v>119</v>
      </c>
    </row>
    <row r="60" ht="66.75" customHeight="1">
      <c r="A60" s="85" t="s">
        <v>120</v>
      </c>
      <c r="B60" s="124" t="s">
        <v>121</v>
      </c>
      <c r="C60" s="116"/>
      <c r="D60" s="88" t="s">
        <v>36</v>
      </c>
      <c r="E60" s="89">
        <f t="shared" si="36"/>
        <v>25000</v>
      </c>
      <c r="F60" s="89">
        <v>25000</v>
      </c>
      <c r="G60" s="115"/>
      <c r="H60" s="89"/>
      <c r="I60" s="89"/>
      <c r="J60" s="90">
        <v>1933.8804700000001</v>
      </c>
      <c r="K60" s="89">
        <f t="shared" si="37"/>
        <v>1933.8804700000001</v>
      </c>
      <c r="L60" s="90">
        <f>1933.88047</f>
        <v>1933.8804700000001</v>
      </c>
      <c r="M60" s="115"/>
      <c r="N60" s="89"/>
      <c r="O60" s="89">
        <f t="shared" si="38"/>
        <v>23066.11953</v>
      </c>
      <c r="P60" s="89">
        <f t="shared" si="39"/>
        <v>0</v>
      </c>
      <c r="Q60" s="91">
        <f t="shared" si="9"/>
        <v>0.0773552188</v>
      </c>
      <c r="R60" s="91"/>
      <c r="S60" s="92" t="s">
        <v>122</v>
      </c>
    </row>
    <row r="61" ht="67.5" customHeight="1">
      <c r="A61" s="85" t="s">
        <v>123</v>
      </c>
      <c r="B61" s="124" t="s">
        <v>124</v>
      </c>
      <c r="C61" s="116"/>
      <c r="D61" s="88" t="s">
        <v>36</v>
      </c>
      <c r="E61" s="89">
        <f t="shared" si="36"/>
        <v>25000</v>
      </c>
      <c r="F61" s="89">
        <v>25000</v>
      </c>
      <c r="G61" s="115"/>
      <c r="H61" s="89"/>
      <c r="I61" s="89"/>
      <c r="J61" s="90">
        <v>5909.8767600000001</v>
      </c>
      <c r="K61" s="89">
        <f t="shared" si="37"/>
        <v>5909.8767600000001</v>
      </c>
      <c r="L61" s="90">
        <f>5909.87676</f>
        <v>5909.8767600000001</v>
      </c>
      <c r="M61" s="115"/>
      <c r="N61" s="89"/>
      <c r="O61" s="89">
        <f t="shared" si="38"/>
        <v>19090.123240000001</v>
      </c>
      <c r="P61" s="89">
        <f t="shared" si="39"/>
        <v>0</v>
      </c>
      <c r="Q61" s="91">
        <f t="shared" si="9"/>
        <v>0.23639507040000002</v>
      </c>
      <c r="R61" s="91"/>
      <c r="S61" s="92" t="s">
        <v>125</v>
      </c>
    </row>
    <row r="62" ht="65.25" customHeight="1">
      <c r="A62" s="85" t="s">
        <v>126</v>
      </c>
      <c r="B62" s="124" t="s">
        <v>127</v>
      </c>
      <c r="C62" s="116"/>
      <c r="D62" s="88" t="s">
        <v>36</v>
      </c>
      <c r="E62" s="89">
        <f t="shared" si="36"/>
        <v>30000</v>
      </c>
      <c r="F62" s="89">
        <v>30000</v>
      </c>
      <c r="G62" s="115"/>
      <c r="H62" s="89"/>
      <c r="I62" s="89"/>
      <c r="J62" s="90"/>
      <c r="K62" s="89">
        <f t="shared" si="37"/>
        <v>0</v>
      </c>
      <c r="L62" s="89"/>
      <c r="M62" s="115"/>
      <c r="N62" s="89"/>
      <c r="O62" s="89">
        <f t="shared" si="38"/>
        <v>30000</v>
      </c>
      <c r="P62" s="89">
        <f t="shared" si="39"/>
        <v>0</v>
      </c>
      <c r="Q62" s="91">
        <f t="shared" si="9"/>
        <v>0</v>
      </c>
      <c r="R62" s="91"/>
      <c r="S62" s="92" t="s">
        <v>91</v>
      </c>
    </row>
    <row r="63" ht="66.75" customHeight="1">
      <c r="A63" s="85" t="s">
        <v>128</v>
      </c>
      <c r="B63" s="124" t="s">
        <v>129</v>
      </c>
      <c r="C63" s="116"/>
      <c r="D63" s="88" t="s">
        <v>36</v>
      </c>
      <c r="E63" s="89">
        <f t="shared" si="36"/>
        <v>25000</v>
      </c>
      <c r="F63" s="89">
        <v>25000</v>
      </c>
      <c r="G63" s="115"/>
      <c r="H63" s="89"/>
      <c r="I63" s="89"/>
      <c r="J63" s="90">
        <v>1968.3725400000001</v>
      </c>
      <c r="K63" s="89">
        <f t="shared" si="37"/>
        <v>1968.3725399999998</v>
      </c>
      <c r="L63" s="89">
        <f>1624.63817+343.73437</f>
        <v>1968.3725399999998</v>
      </c>
      <c r="M63" s="115"/>
      <c r="N63" s="89"/>
      <c r="O63" s="89">
        <f t="shared" si="38"/>
        <v>23031.62746</v>
      </c>
      <c r="P63" s="89">
        <f t="shared" si="39"/>
        <v>0</v>
      </c>
      <c r="Q63" s="91">
        <f t="shared" si="9"/>
        <v>0.07873490159999999</v>
      </c>
      <c r="R63" s="91"/>
      <c r="S63" s="92" t="s">
        <v>122</v>
      </c>
    </row>
    <row r="64" ht="79.5" customHeight="1">
      <c r="A64" s="101"/>
      <c r="B64" s="124" t="s">
        <v>130</v>
      </c>
      <c r="C64" s="116"/>
      <c r="D64" s="88" t="s">
        <v>36</v>
      </c>
      <c r="E64" s="89">
        <f t="shared" si="36"/>
        <v>30000</v>
      </c>
      <c r="F64" s="89">
        <v>30000</v>
      </c>
      <c r="G64" s="115"/>
      <c r="H64" s="89"/>
      <c r="I64" s="89"/>
      <c r="J64" s="90">
        <v>4480.1986699999998</v>
      </c>
      <c r="K64" s="89">
        <f t="shared" si="37"/>
        <v>4480.1986699999998</v>
      </c>
      <c r="L64" s="89">
        <f>4480.19867</f>
        <v>4480.1986699999998</v>
      </c>
      <c r="M64" s="115"/>
      <c r="N64" s="89"/>
      <c r="O64" s="89">
        <f t="shared" si="38"/>
        <v>25519.801330000002</v>
      </c>
      <c r="P64" s="89">
        <f t="shared" si="39"/>
        <v>0</v>
      </c>
      <c r="Q64" s="91">
        <f t="shared" si="9"/>
        <v>0.14933995566666666</v>
      </c>
      <c r="R64" s="91"/>
      <c r="S64" s="92" t="s">
        <v>131</v>
      </c>
    </row>
    <row r="65" ht="80.25" customHeight="1">
      <c r="A65" s="85" t="s">
        <v>132</v>
      </c>
      <c r="B65" s="124" t="s">
        <v>133</v>
      </c>
      <c r="C65" s="116"/>
      <c r="D65" s="88" t="s">
        <v>36</v>
      </c>
      <c r="E65" s="89">
        <f t="shared" si="36"/>
        <v>30000</v>
      </c>
      <c r="F65" s="89">
        <v>30000</v>
      </c>
      <c r="G65" s="115"/>
      <c r="H65" s="89"/>
      <c r="I65" s="89"/>
      <c r="J65" s="90"/>
      <c r="K65" s="89">
        <f t="shared" si="37"/>
        <v>0</v>
      </c>
      <c r="L65" s="89"/>
      <c r="M65" s="115"/>
      <c r="N65" s="89"/>
      <c r="O65" s="89">
        <f t="shared" si="38"/>
        <v>30000</v>
      </c>
      <c r="P65" s="89">
        <f t="shared" si="39"/>
        <v>0</v>
      </c>
      <c r="Q65" s="91">
        <f t="shared" si="9"/>
        <v>0</v>
      </c>
      <c r="R65" s="91"/>
      <c r="S65" s="92" t="s">
        <v>131</v>
      </c>
    </row>
    <row r="66" ht="81.75" customHeight="1">
      <c r="A66" s="85" t="s">
        <v>134</v>
      </c>
      <c r="B66" s="124" t="s">
        <v>135</v>
      </c>
      <c r="C66" s="116"/>
      <c r="D66" s="88" t="s">
        <v>36</v>
      </c>
      <c r="E66" s="89">
        <f t="shared" si="36"/>
        <v>25000</v>
      </c>
      <c r="F66" s="89">
        <v>25000</v>
      </c>
      <c r="G66" s="115"/>
      <c r="H66" s="89"/>
      <c r="I66" s="89"/>
      <c r="J66" s="90"/>
      <c r="K66" s="89">
        <f t="shared" si="37"/>
        <v>0</v>
      </c>
      <c r="L66" s="89"/>
      <c r="M66" s="115"/>
      <c r="N66" s="89"/>
      <c r="O66" s="89">
        <f t="shared" si="38"/>
        <v>25000</v>
      </c>
      <c r="P66" s="89">
        <f t="shared" si="39"/>
        <v>0</v>
      </c>
      <c r="Q66" s="91">
        <f t="shared" si="9"/>
        <v>0</v>
      </c>
      <c r="R66" s="91"/>
      <c r="S66" s="92" t="s">
        <v>136</v>
      </c>
    </row>
    <row r="67" ht="66" customHeight="1">
      <c r="A67" s="101"/>
      <c r="B67" s="124" t="s">
        <v>137</v>
      </c>
      <c r="C67" s="116"/>
      <c r="D67" s="88" t="s">
        <v>36</v>
      </c>
      <c r="E67" s="89">
        <f t="shared" si="36"/>
        <v>30000</v>
      </c>
      <c r="F67" s="89">
        <v>30000</v>
      </c>
      <c r="G67" s="115"/>
      <c r="H67" s="89"/>
      <c r="I67" s="89"/>
      <c r="J67" s="90">
        <v>2159.7128700000003</v>
      </c>
      <c r="K67" s="89">
        <f t="shared" si="37"/>
        <v>2159.7128600000001</v>
      </c>
      <c r="L67" s="89">
        <f>2159.71286</f>
        <v>2159.7128600000001</v>
      </c>
      <c r="M67" s="115"/>
      <c r="N67" s="89"/>
      <c r="O67" s="89">
        <f t="shared" si="38"/>
        <v>27840.28714</v>
      </c>
      <c r="P67" s="89">
        <f t="shared" si="39"/>
        <v>0</v>
      </c>
      <c r="Q67" s="91">
        <f t="shared" si="9"/>
        <v>0.071990428666666675</v>
      </c>
      <c r="R67" s="91"/>
      <c r="S67" s="92" t="s">
        <v>119</v>
      </c>
    </row>
    <row r="68" ht="81.75" customHeight="1">
      <c r="A68" s="85" t="s">
        <v>138</v>
      </c>
      <c r="B68" s="124" t="s">
        <v>139</v>
      </c>
      <c r="C68" s="116"/>
      <c r="D68" s="88" t="s">
        <v>36</v>
      </c>
      <c r="E68" s="89">
        <f t="shared" si="36"/>
        <v>30000</v>
      </c>
      <c r="F68" s="89">
        <v>30000</v>
      </c>
      <c r="G68" s="115"/>
      <c r="H68" s="89"/>
      <c r="I68" s="89"/>
      <c r="J68" s="90"/>
      <c r="K68" s="89">
        <f t="shared" si="37"/>
        <v>0</v>
      </c>
      <c r="L68" s="89"/>
      <c r="M68" s="115"/>
      <c r="N68" s="89"/>
      <c r="O68" s="89">
        <f t="shared" si="38"/>
        <v>30000</v>
      </c>
      <c r="P68" s="89">
        <f t="shared" si="39"/>
        <v>0</v>
      </c>
      <c r="Q68" s="91">
        <f t="shared" si="9"/>
        <v>0</v>
      </c>
      <c r="R68" s="91"/>
      <c r="S68" s="92" t="s">
        <v>131</v>
      </c>
    </row>
    <row r="69" ht="83.25" customHeight="1">
      <c r="A69" s="101"/>
      <c r="B69" s="124" t="s">
        <v>140</v>
      </c>
      <c r="C69" s="116"/>
      <c r="D69" s="88" t="s">
        <v>36</v>
      </c>
      <c r="E69" s="89">
        <f t="shared" si="36"/>
        <v>25000</v>
      </c>
      <c r="F69" s="89">
        <v>25000</v>
      </c>
      <c r="G69" s="115"/>
      <c r="H69" s="89"/>
      <c r="I69" s="89"/>
      <c r="J69" s="90"/>
      <c r="K69" s="89">
        <f t="shared" si="37"/>
        <v>0</v>
      </c>
      <c r="L69" s="89"/>
      <c r="M69" s="115"/>
      <c r="N69" s="89"/>
      <c r="O69" s="89">
        <f t="shared" si="38"/>
        <v>25000</v>
      </c>
      <c r="P69" s="89">
        <f t="shared" si="39"/>
        <v>0</v>
      </c>
      <c r="Q69" s="91">
        <f t="shared" si="9"/>
        <v>0</v>
      </c>
      <c r="R69" s="91"/>
      <c r="S69" s="92" t="s">
        <v>119</v>
      </c>
    </row>
    <row r="70" ht="81" customHeight="1">
      <c r="A70" s="101"/>
      <c r="B70" s="124" t="s">
        <v>141</v>
      </c>
      <c r="C70" s="116"/>
      <c r="D70" s="88" t="s">
        <v>36</v>
      </c>
      <c r="E70" s="89">
        <f t="shared" si="36"/>
        <v>10000</v>
      </c>
      <c r="F70" s="89">
        <v>10000</v>
      </c>
      <c r="G70" s="115"/>
      <c r="H70" s="89"/>
      <c r="I70" s="89"/>
      <c r="J70" s="90">
        <v>7778.3402500000002</v>
      </c>
      <c r="K70" s="89">
        <f t="shared" si="37"/>
        <v>7778.3402500000002</v>
      </c>
      <c r="L70" s="89">
        <f>7778.34025</f>
        <v>7778.3402500000002</v>
      </c>
      <c r="M70" s="115"/>
      <c r="N70" s="89"/>
      <c r="O70" s="89">
        <f t="shared" si="38"/>
        <v>2221.6597499999998</v>
      </c>
      <c r="P70" s="89">
        <f t="shared" si="39"/>
        <v>0</v>
      </c>
      <c r="Q70" s="91">
        <f t="shared" si="9"/>
        <v>0.77783402499999998</v>
      </c>
      <c r="R70" s="91"/>
      <c r="S70" s="92" t="s">
        <v>142</v>
      </c>
    </row>
    <row r="71" ht="81.75" customHeight="1">
      <c r="A71" s="101"/>
      <c r="B71" s="124" t="s">
        <v>143</v>
      </c>
      <c r="C71" s="116"/>
      <c r="D71" s="88" t="s">
        <v>36</v>
      </c>
      <c r="E71" s="89">
        <f t="shared" si="36"/>
        <v>17757.506260000002</v>
      </c>
      <c r="F71" s="89">
        <f>10000+7757.50626</f>
        <v>17757.506260000002</v>
      </c>
      <c r="G71" s="115"/>
      <c r="H71" s="89"/>
      <c r="I71" s="89"/>
      <c r="J71" s="90"/>
      <c r="K71" s="89">
        <f t="shared" si="37"/>
        <v>0</v>
      </c>
      <c r="L71" s="89"/>
      <c r="M71" s="115"/>
      <c r="N71" s="89"/>
      <c r="O71" s="89">
        <f t="shared" si="38"/>
        <v>17757.506260000002</v>
      </c>
      <c r="P71" s="89">
        <f t="shared" si="39"/>
        <v>0</v>
      </c>
      <c r="Q71" s="91">
        <f t="shared" si="9"/>
        <v>0</v>
      </c>
      <c r="R71" s="91"/>
      <c r="S71" s="92" t="s">
        <v>119</v>
      </c>
    </row>
    <row r="72" ht="66.75" customHeight="1">
      <c r="A72" s="85" t="s">
        <v>144</v>
      </c>
      <c r="B72" s="124" t="s">
        <v>145</v>
      </c>
      <c r="C72" s="116"/>
      <c r="D72" s="88" t="s">
        <v>36</v>
      </c>
      <c r="E72" s="89">
        <f t="shared" si="36"/>
        <v>25000</v>
      </c>
      <c r="F72" s="89">
        <v>25000</v>
      </c>
      <c r="G72" s="115"/>
      <c r="H72" s="89"/>
      <c r="I72" s="89"/>
      <c r="J72" s="90"/>
      <c r="K72" s="89">
        <f t="shared" si="37"/>
        <v>0</v>
      </c>
      <c r="L72" s="89"/>
      <c r="M72" s="115"/>
      <c r="N72" s="89"/>
      <c r="O72" s="89">
        <f t="shared" si="38"/>
        <v>25000</v>
      </c>
      <c r="P72" s="89">
        <f t="shared" si="39"/>
        <v>0</v>
      </c>
      <c r="Q72" s="91">
        <f t="shared" si="9"/>
        <v>0</v>
      </c>
      <c r="R72" s="91"/>
      <c r="S72" s="92" t="s">
        <v>119</v>
      </c>
    </row>
    <row r="73" ht="67.5" customHeight="1">
      <c r="A73" s="101"/>
      <c r="B73" s="124" t="s">
        <v>146</v>
      </c>
      <c r="C73" s="116"/>
      <c r="D73" s="88" t="s">
        <v>36</v>
      </c>
      <c r="E73" s="89">
        <f t="shared" si="36"/>
        <v>30000</v>
      </c>
      <c r="F73" s="89">
        <v>30000</v>
      </c>
      <c r="G73" s="115"/>
      <c r="H73" s="89"/>
      <c r="I73" s="89"/>
      <c r="J73" s="90"/>
      <c r="K73" s="89">
        <f t="shared" si="37"/>
        <v>0</v>
      </c>
      <c r="L73" s="89"/>
      <c r="M73" s="115"/>
      <c r="N73" s="89"/>
      <c r="O73" s="89">
        <f t="shared" si="38"/>
        <v>30000</v>
      </c>
      <c r="P73" s="89">
        <f t="shared" si="39"/>
        <v>0</v>
      </c>
      <c r="Q73" s="91">
        <f t="shared" si="9"/>
        <v>0</v>
      </c>
      <c r="R73" s="91"/>
      <c r="S73" s="92" t="s">
        <v>119</v>
      </c>
    </row>
    <row r="74" ht="67.5" customHeight="1">
      <c r="A74" s="85" t="s">
        <v>147</v>
      </c>
      <c r="B74" s="124" t="s">
        <v>148</v>
      </c>
      <c r="C74" s="116"/>
      <c r="D74" s="88" t="s">
        <v>36</v>
      </c>
      <c r="E74" s="89">
        <f t="shared" si="36"/>
        <v>30000</v>
      </c>
      <c r="F74" s="89">
        <v>30000</v>
      </c>
      <c r="G74" s="115"/>
      <c r="H74" s="89"/>
      <c r="I74" s="89"/>
      <c r="J74" s="90">
        <v>356.77191999999997</v>
      </c>
      <c r="K74" s="89">
        <f t="shared" si="37"/>
        <v>356.77192000000002</v>
      </c>
      <c r="L74" s="89">
        <f>356.77192</f>
        <v>356.77192000000002</v>
      </c>
      <c r="M74" s="115"/>
      <c r="N74" s="89"/>
      <c r="O74" s="89">
        <f t="shared" si="38"/>
        <v>29643.228080000001</v>
      </c>
      <c r="P74" s="89">
        <f t="shared" si="39"/>
        <v>0</v>
      </c>
      <c r="Q74" s="91">
        <f t="shared" si="9"/>
        <v>0.011892397333333334</v>
      </c>
      <c r="R74" s="91"/>
      <c r="S74" s="92" t="s">
        <v>91</v>
      </c>
    </row>
    <row r="75" ht="66" customHeight="1">
      <c r="A75" s="85"/>
      <c r="B75" s="124" t="s">
        <v>149</v>
      </c>
      <c r="C75" s="116"/>
      <c r="D75" s="88" t="s">
        <v>36</v>
      </c>
      <c r="E75" s="89">
        <f t="shared" si="36"/>
        <v>25000</v>
      </c>
      <c r="F75" s="89">
        <v>25000</v>
      </c>
      <c r="G75" s="115"/>
      <c r="H75" s="89"/>
      <c r="I75" s="89"/>
      <c r="J75" s="90"/>
      <c r="K75" s="89">
        <f t="shared" si="37"/>
        <v>0</v>
      </c>
      <c r="L75" s="89"/>
      <c r="M75" s="115"/>
      <c r="N75" s="89"/>
      <c r="O75" s="89">
        <f t="shared" si="38"/>
        <v>25000</v>
      </c>
      <c r="P75" s="89">
        <f t="shared" si="39"/>
        <v>0</v>
      </c>
      <c r="Q75" s="91">
        <f t="shared" si="9"/>
        <v>0</v>
      </c>
      <c r="R75" s="91"/>
      <c r="S75" s="92" t="s">
        <v>119</v>
      </c>
    </row>
    <row r="76" ht="67.5" customHeight="1">
      <c r="A76" s="85"/>
      <c r="B76" s="124" t="s">
        <v>150</v>
      </c>
      <c r="C76" s="116"/>
      <c r="D76" s="88" t="s">
        <v>36</v>
      </c>
      <c r="E76" s="89">
        <f t="shared" si="36"/>
        <v>25000</v>
      </c>
      <c r="F76" s="89">
        <v>25000</v>
      </c>
      <c r="G76" s="115"/>
      <c r="H76" s="89"/>
      <c r="I76" s="89"/>
      <c r="J76" s="90">
        <v>284.44534000000004</v>
      </c>
      <c r="K76" s="89">
        <f t="shared" si="37"/>
        <v>284.44533999999999</v>
      </c>
      <c r="L76" s="89">
        <f>284.44534</f>
        <v>284.44533999999999</v>
      </c>
      <c r="M76" s="115"/>
      <c r="N76" s="89"/>
      <c r="O76" s="89">
        <f t="shared" si="38"/>
        <v>24715.554660000002</v>
      </c>
      <c r="P76" s="89">
        <f t="shared" si="39"/>
        <v>0</v>
      </c>
      <c r="Q76" s="91">
        <f t="shared" si="9"/>
        <v>0.0113778136</v>
      </c>
      <c r="R76" s="91"/>
      <c r="S76" s="92" t="s">
        <v>116</v>
      </c>
    </row>
    <row r="77" ht="66.75" customHeight="1">
      <c r="A77" s="85"/>
      <c r="B77" s="124" t="s">
        <v>151</v>
      </c>
      <c r="C77" s="116"/>
      <c r="D77" s="88" t="s">
        <v>36</v>
      </c>
      <c r="E77" s="89">
        <f t="shared" si="36"/>
        <v>32290</v>
      </c>
      <c r="F77" s="89">
        <v>32290</v>
      </c>
      <c r="G77" s="115"/>
      <c r="H77" s="89"/>
      <c r="I77" s="89"/>
      <c r="J77" s="90">
        <v>74.942399999999992</v>
      </c>
      <c r="K77" s="89">
        <f t="shared" si="37"/>
        <v>14.988479999999999</v>
      </c>
      <c r="L77" s="89">
        <f t="shared" ref="L77:L85" si="40">14.98848</f>
        <v>14.988479999999999</v>
      </c>
      <c r="M77" s="115"/>
      <c r="N77" s="89"/>
      <c r="O77" s="89">
        <f t="shared" si="38"/>
        <v>32275.01152</v>
      </c>
      <c r="P77" s="89">
        <f t="shared" si="39"/>
        <v>0</v>
      </c>
      <c r="Q77" s="91">
        <f t="shared" ref="Q77:Q107" si="41">L77/F77</f>
        <v>0.00046418333849489001</v>
      </c>
      <c r="R77" s="91"/>
      <c r="S77" s="92" t="s">
        <v>152</v>
      </c>
    </row>
    <row r="78" ht="78" customHeight="1">
      <c r="A78" s="85" t="s">
        <v>153</v>
      </c>
      <c r="B78" s="124" t="s">
        <v>154</v>
      </c>
      <c r="C78" s="116"/>
      <c r="D78" s="88" t="s">
        <v>36</v>
      </c>
      <c r="E78" s="89">
        <f t="shared" si="36"/>
        <v>32290</v>
      </c>
      <c r="F78" s="89">
        <v>32290</v>
      </c>
      <c r="G78" s="115"/>
      <c r="H78" s="89"/>
      <c r="I78" s="89"/>
      <c r="J78" s="90">
        <v>74.942399999999992</v>
      </c>
      <c r="K78" s="89">
        <f t="shared" si="37"/>
        <v>14.988479999999999</v>
      </c>
      <c r="L78" s="89">
        <f t="shared" si="40"/>
        <v>14.988479999999999</v>
      </c>
      <c r="M78" s="115"/>
      <c r="N78" s="89"/>
      <c r="O78" s="89">
        <f t="shared" si="38"/>
        <v>32275.01152</v>
      </c>
      <c r="P78" s="89">
        <f t="shared" si="39"/>
        <v>0</v>
      </c>
      <c r="Q78" s="91">
        <f t="shared" si="41"/>
        <v>0.00046418333849489001</v>
      </c>
      <c r="R78" s="91"/>
      <c r="S78" s="92" t="s">
        <v>152</v>
      </c>
    </row>
    <row r="79" ht="78" customHeight="1">
      <c r="A79" s="85" t="s">
        <v>155</v>
      </c>
      <c r="B79" s="124" t="s">
        <v>156</v>
      </c>
      <c r="C79" s="116"/>
      <c r="D79" s="88" t="s">
        <v>36</v>
      </c>
      <c r="E79" s="89">
        <f t="shared" si="36"/>
        <v>32290</v>
      </c>
      <c r="F79" s="89">
        <v>32290</v>
      </c>
      <c r="G79" s="115"/>
      <c r="H79" s="89"/>
      <c r="I79" s="89"/>
      <c r="J79" s="90">
        <v>74.942399999999992</v>
      </c>
      <c r="K79" s="89">
        <f t="shared" si="37"/>
        <v>14.988479999999999</v>
      </c>
      <c r="L79" s="89">
        <f t="shared" si="40"/>
        <v>14.988479999999999</v>
      </c>
      <c r="M79" s="115"/>
      <c r="N79" s="89"/>
      <c r="O79" s="89">
        <f t="shared" si="38"/>
        <v>32275.01152</v>
      </c>
      <c r="P79" s="89">
        <f t="shared" si="39"/>
        <v>0</v>
      </c>
      <c r="Q79" s="91">
        <f t="shared" si="41"/>
        <v>0.00046418333849489001</v>
      </c>
      <c r="R79" s="91"/>
      <c r="S79" s="92" t="s">
        <v>157</v>
      </c>
    </row>
    <row r="80" ht="79.5" customHeight="1">
      <c r="A80" s="85" t="s">
        <v>158</v>
      </c>
      <c r="B80" s="124" t="s">
        <v>159</v>
      </c>
      <c r="C80" s="116"/>
      <c r="D80" s="88" t="s">
        <v>36</v>
      </c>
      <c r="E80" s="89">
        <f t="shared" si="36"/>
        <v>37290</v>
      </c>
      <c r="F80" s="89">
        <v>37290</v>
      </c>
      <c r="G80" s="115"/>
      <c r="H80" s="89"/>
      <c r="I80" s="89"/>
      <c r="J80" s="90">
        <v>74.942399999999992</v>
      </c>
      <c r="K80" s="89">
        <f t="shared" si="37"/>
        <v>14.988479999999999</v>
      </c>
      <c r="L80" s="90">
        <f t="shared" si="40"/>
        <v>14.988479999999999</v>
      </c>
      <c r="M80" s="115"/>
      <c r="N80" s="89"/>
      <c r="O80" s="89">
        <f t="shared" si="38"/>
        <v>37275.01152</v>
      </c>
      <c r="P80" s="89">
        <f t="shared" si="39"/>
        <v>0</v>
      </c>
      <c r="Q80" s="91">
        <f t="shared" si="41"/>
        <v>0.0004019436846339501</v>
      </c>
      <c r="R80" s="91"/>
      <c r="S80" s="92" t="s">
        <v>157</v>
      </c>
    </row>
    <row r="81" ht="79.5" customHeight="1">
      <c r="A81" s="85" t="s">
        <v>160</v>
      </c>
      <c r="B81" s="124" t="s">
        <v>161</v>
      </c>
      <c r="C81" s="116"/>
      <c r="D81" s="88" t="s">
        <v>36</v>
      </c>
      <c r="E81" s="89">
        <f t="shared" si="36"/>
        <v>37290</v>
      </c>
      <c r="F81" s="89">
        <v>37290</v>
      </c>
      <c r="G81" s="115"/>
      <c r="H81" s="89"/>
      <c r="I81" s="89"/>
      <c r="J81" s="90">
        <v>74.942399999999992</v>
      </c>
      <c r="K81" s="89">
        <f t="shared" si="37"/>
        <v>14.988479999999999</v>
      </c>
      <c r="L81" s="89">
        <f t="shared" si="40"/>
        <v>14.988479999999999</v>
      </c>
      <c r="M81" s="115"/>
      <c r="N81" s="89"/>
      <c r="O81" s="89">
        <f t="shared" si="38"/>
        <v>37275.01152</v>
      </c>
      <c r="P81" s="89">
        <f t="shared" si="39"/>
        <v>0</v>
      </c>
      <c r="Q81" s="91">
        <f t="shared" si="41"/>
        <v>0.0004019436846339501</v>
      </c>
      <c r="R81" s="91"/>
      <c r="S81" s="92" t="s">
        <v>152</v>
      </c>
    </row>
    <row r="82" ht="69.75" customHeight="1">
      <c r="A82" s="85" t="s">
        <v>162</v>
      </c>
      <c r="B82" s="124" t="s">
        <v>163</v>
      </c>
      <c r="C82" s="116"/>
      <c r="D82" s="88" t="s">
        <v>36</v>
      </c>
      <c r="E82" s="89">
        <f t="shared" si="36"/>
        <v>37440</v>
      </c>
      <c r="F82" s="89">
        <v>37440</v>
      </c>
      <c r="G82" s="115"/>
      <c r="H82" s="89"/>
      <c r="I82" s="89"/>
      <c r="J82" s="90"/>
      <c r="K82" s="89">
        <f t="shared" si="37"/>
        <v>0</v>
      </c>
      <c r="L82" s="89"/>
      <c r="M82" s="115"/>
      <c r="N82" s="89"/>
      <c r="O82" s="89">
        <f t="shared" si="38"/>
        <v>37440</v>
      </c>
      <c r="P82" s="89">
        <f t="shared" si="39"/>
        <v>0</v>
      </c>
      <c r="Q82" s="91">
        <f t="shared" si="41"/>
        <v>0</v>
      </c>
      <c r="R82" s="91"/>
      <c r="S82" s="92" t="s">
        <v>152</v>
      </c>
    </row>
    <row r="83" ht="82.5" customHeight="1">
      <c r="A83" s="85"/>
      <c r="B83" s="124" t="s">
        <v>164</v>
      </c>
      <c r="C83" s="116"/>
      <c r="D83" s="88" t="s">
        <v>36</v>
      </c>
      <c r="E83" s="89">
        <f t="shared" si="36"/>
        <v>37290</v>
      </c>
      <c r="F83" s="89">
        <v>37290</v>
      </c>
      <c r="G83" s="115"/>
      <c r="H83" s="89"/>
      <c r="I83" s="89"/>
      <c r="J83" s="90"/>
      <c r="K83" s="89">
        <f t="shared" si="37"/>
        <v>0</v>
      </c>
      <c r="L83" s="89"/>
      <c r="M83" s="115"/>
      <c r="N83" s="89"/>
      <c r="O83" s="89">
        <f t="shared" si="38"/>
        <v>37290</v>
      </c>
      <c r="P83" s="89">
        <f t="shared" si="39"/>
        <v>0</v>
      </c>
      <c r="Q83" s="91">
        <f t="shared" si="41"/>
        <v>0</v>
      </c>
      <c r="R83" s="91"/>
      <c r="S83" s="92" t="s">
        <v>70</v>
      </c>
    </row>
    <row r="84" ht="81.75" customHeight="1">
      <c r="A84" s="85" t="s">
        <v>165</v>
      </c>
      <c r="B84" s="124" t="s">
        <v>166</v>
      </c>
      <c r="C84" s="116"/>
      <c r="D84" s="88" t="s">
        <v>36</v>
      </c>
      <c r="E84" s="89">
        <f t="shared" si="36"/>
        <v>40290</v>
      </c>
      <c r="F84" s="89">
        <v>40290</v>
      </c>
      <c r="G84" s="115"/>
      <c r="H84" s="89"/>
      <c r="I84" s="89"/>
      <c r="J84" s="90"/>
      <c r="K84" s="89">
        <f t="shared" si="37"/>
        <v>0</v>
      </c>
      <c r="L84" s="89"/>
      <c r="M84" s="115"/>
      <c r="N84" s="89"/>
      <c r="O84" s="89">
        <f t="shared" si="38"/>
        <v>40290</v>
      </c>
      <c r="P84" s="89">
        <f t="shared" si="39"/>
        <v>0</v>
      </c>
      <c r="Q84" s="91">
        <f t="shared" si="41"/>
        <v>0</v>
      </c>
      <c r="R84" s="91"/>
      <c r="S84" s="92" t="s">
        <v>70</v>
      </c>
    </row>
    <row r="85" ht="82.5" customHeight="1">
      <c r="A85" s="85" t="s">
        <v>167</v>
      </c>
      <c r="B85" s="124" t="s">
        <v>168</v>
      </c>
      <c r="C85" s="116"/>
      <c r="D85" s="88" t="s">
        <v>36</v>
      </c>
      <c r="E85" s="89">
        <f t="shared" si="36"/>
        <v>32290</v>
      </c>
      <c r="F85" s="89">
        <v>32290</v>
      </c>
      <c r="G85" s="115"/>
      <c r="H85" s="89"/>
      <c r="I85" s="89"/>
      <c r="J85" s="90">
        <v>74.942399999999992</v>
      </c>
      <c r="K85" s="89">
        <f t="shared" si="37"/>
        <v>14.988479999999999</v>
      </c>
      <c r="L85" s="89">
        <f t="shared" si="40"/>
        <v>14.988479999999999</v>
      </c>
      <c r="M85" s="115"/>
      <c r="N85" s="89"/>
      <c r="O85" s="89">
        <f t="shared" si="38"/>
        <v>32275.01152</v>
      </c>
      <c r="P85" s="89">
        <f t="shared" si="39"/>
        <v>0</v>
      </c>
      <c r="Q85" s="91">
        <f t="shared" si="41"/>
        <v>0.00046418333849489001</v>
      </c>
      <c r="R85" s="91"/>
      <c r="S85" s="92" t="s">
        <v>152</v>
      </c>
    </row>
    <row r="86" ht="69.75" customHeight="1">
      <c r="A86" s="85"/>
      <c r="B86" s="124" t="s">
        <v>169</v>
      </c>
      <c r="C86" s="116"/>
      <c r="D86" s="88" t="s">
        <v>36</v>
      </c>
      <c r="E86" s="89">
        <f t="shared" si="36"/>
        <v>32290</v>
      </c>
      <c r="F86" s="89">
        <v>32290</v>
      </c>
      <c r="G86" s="115"/>
      <c r="H86" s="89"/>
      <c r="I86" s="89"/>
      <c r="J86" s="90"/>
      <c r="K86" s="89">
        <f t="shared" si="37"/>
        <v>0</v>
      </c>
      <c r="L86" s="89"/>
      <c r="M86" s="115"/>
      <c r="N86" s="89"/>
      <c r="O86" s="89">
        <f t="shared" si="38"/>
        <v>32290</v>
      </c>
      <c r="P86" s="89">
        <f t="shared" si="39"/>
        <v>0</v>
      </c>
      <c r="Q86" s="91">
        <f t="shared" si="41"/>
        <v>0</v>
      </c>
      <c r="R86" s="91"/>
      <c r="S86" s="92" t="s">
        <v>157</v>
      </c>
    </row>
    <row r="87" ht="30" customHeight="1">
      <c r="A87" s="125"/>
      <c r="B87" s="125" t="s">
        <v>170</v>
      </c>
      <c r="C87" s="126"/>
      <c r="D87" s="126"/>
      <c r="E87" s="127">
        <f>SUM(E88:E122)</f>
        <v>420178.70000000001</v>
      </c>
      <c r="F87" s="127">
        <f t="shared" ref="F87:P87" si="42">SUM(F88:F122)</f>
        <v>420178.70000000001</v>
      </c>
      <c r="G87" s="127">
        <f t="shared" si="42"/>
        <v>0</v>
      </c>
      <c r="H87" s="127">
        <f t="shared" si="42"/>
        <v>0</v>
      </c>
      <c r="I87" s="127">
        <f t="shared" si="42"/>
        <v>0</v>
      </c>
      <c r="J87" s="127">
        <f t="shared" si="42"/>
        <v>524.59680000000003</v>
      </c>
      <c r="K87" s="127">
        <f t="shared" si="42"/>
        <v>104.91935999999998</v>
      </c>
      <c r="L87" s="127">
        <f t="shared" si="42"/>
        <v>104.91935999999998</v>
      </c>
      <c r="M87" s="127">
        <f t="shared" si="42"/>
        <v>0</v>
      </c>
      <c r="N87" s="127">
        <f t="shared" si="42"/>
        <v>0</v>
      </c>
      <c r="O87" s="127">
        <f t="shared" si="42"/>
        <v>420073.78064000001</v>
      </c>
      <c r="P87" s="127">
        <f t="shared" si="42"/>
        <v>0</v>
      </c>
      <c r="Q87" s="128">
        <f t="shared" si="41"/>
        <v>0.00024970175784731589</v>
      </c>
      <c r="R87" s="128"/>
      <c r="S87" s="92"/>
    </row>
    <row r="88" ht="67.5" customHeight="1">
      <c r="A88" s="129" t="s">
        <v>171</v>
      </c>
      <c r="B88" s="124" t="s">
        <v>172</v>
      </c>
      <c r="C88" s="116"/>
      <c r="D88" s="88" t="s">
        <v>36</v>
      </c>
      <c r="E88" s="89">
        <f t="shared" si="36"/>
        <v>20000</v>
      </c>
      <c r="F88" s="89">
        <v>20000</v>
      </c>
      <c r="G88" s="115"/>
      <c r="H88" s="89"/>
      <c r="I88" s="89"/>
      <c r="J88" s="90"/>
      <c r="K88" s="89">
        <f t="shared" ref="K88:K106" si="43">L88+M88+N88</f>
        <v>0</v>
      </c>
      <c r="L88" s="89"/>
      <c r="M88" s="115"/>
      <c r="N88" s="89"/>
      <c r="O88" s="89">
        <f t="shared" ref="O88:O122" si="44">F88-L88</f>
        <v>20000</v>
      </c>
      <c r="P88" s="89">
        <f t="shared" ref="P88:P122" si="45">H88-N88</f>
        <v>0</v>
      </c>
      <c r="Q88" s="91">
        <f t="shared" si="41"/>
        <v>0</v>
      </c>
      <c r="R88" s="91"/>
      <c r="S88" s="92"/>
    </row>
    <row r="89" ht="66.75" customHeight="1">
      <c r="A89" s="129" t="s">
        <v>173</v>
      </c>
      <c r="B89" s="124" t="s">
        <v>174</v>
      </c>
      <c r="C89" s="116"/>
      <c r="D89" s="88" t="s">
        <v>36</v>
      </c>
      <c r="E89" s="89">
        <f t="shared" si="36"/>
        <v>17290</v>
      </c>
      <c r="F89" s="89">
        <v>17290</v>
      </c>
      <c r="G89" s="115"/>
      <c r="H89" s="89"/>
      <c r="I89" s="89"/>
      <c r="J89" s="90">
        <v>74.942399999999992</v>
      </c>
      <c r="K89" s="89">
        <f t="shared" si="43"/>
        <v>14.988479999999999</v>
      </c>
      <c r="L89" s="89">
        <f>14.98848</f>
        <v>14.988479999999999</v>
      </c>
      <c r="M89" s="115"/>
      <c r="N89" s="89"/>
      <c r="O89" s="89">
        <f t="shared" si="44"/>
        <v>17275.01152</v>
      </c>
      <c r="P89" s="89">
        <f t="shared" si="45"/>
        <v>0</v>
      </c>
      <c r="Q89" s="91">
        <f t="shared" si="41"/>
        <v>0.00086688721804511278</v>
      </c>
      <c r="R89" s="91"/>
      <c r="S89" s="92" t="s">
        <v>175</v>
      </c>
    </row>
    <row r="90" ht="75">
      <c r="A90" s="129" t="s">
        <v>176</v>
      </c>
      <c r="B90" s="124" t="s">
        <v>177</v>
      </c>
      <c r="C90" s="116"/>
      <c r="D90" s="88" t="s">
        <v>36</v>
      </c>
      <c r="E90" s="89">
        <f t="shared" si="36"/>
        <v>17850</v>
      </c>
      <c r="F90" s="89">
        <v>17850</v>
      </c>
      <c r="G90" s="115"/>
      <c r="H90" s="89"/>
      <c r="I90" s="89"/>
      <c r="J90" s="90"/>
      <c r="K90" s="89">
        <f t="shared" si="43"/>
        <v>0</v>
      </c>
      <c r="L90" s="89"/>
      <c r="M90" s="115"/>
      <c r="N90" s="89"/>
      <c r="O90" s="89">
        <f t="shared" si="44"/>
        <v>17850</v>
      </c>
      <c r="P90" s="89">
        <f t="shared" si="45"/>
        <v>0</v>
      </c>
      <c r="Q90" s="91">
        <f t="shared" si="41"/>
        <v>0</v>
      </c>
      <c r="R90" s="91"/>
      <c r="S90" s="92"/>
    </row>
    <row r="91" ht="75">
      <c r="A91" s="101"/>
      <c r="B91" s="124" t="s">
        <v>178</v>
      </c>
      <c r="C91" s="116"/>
      <c r="D91" s="88" t="s">
        <v>36</v>
      </c>
      <c r="E91" s="89">
        <f t="shared" si="36"/>
        <v>22850</v>
      </c>
      <c r="F91" s="89">
        <v>22850</v>
      </c>
      <c r="G91" s="115"/>
      <c r="H91" s="89"/>
      <c r="I91" s="89"/>
      <c r="J91" s="90"/>
      <c r="K91" s="89">
        <f t="shared" si="43"/>
        <v>0</v>
      </c>
      <c r="L91" s="89"/>
      <c r="M91" s="115"/>
      <c r="N91" s="89"/>
      <c r="O91" s="89">
        <f t="shared" si="44"/>
        <v>22850</v>
      </c>
      <c r="P91" s="89">
        <f t="shared" si="45"/>
        <v>0</v>
      </c>
      <c r="Q91" s="91">
        <f t="shared" si="41"/>
        <v>0</v>
      </c>
      <c r="R91" s="91"/>
      <c r="S91" s="92"/>
    </row>
    <row r="92" ht="64.5" customHeight="1">
      <c r="A92" s="101"/>
      <c r="B92" s="124" t="s">
        <v>179</v>
      </c>
      <c r="C92" s="116"/>
      <c r="D92" s="88" t="s">
        <v>36</v>
      </c>
      <c r="E92" s="89">
        <f t="shared" si="36"/>
        <v>22290</v>
      </c>
      <c r="F92" s="89">
        <v>22290</v>
      </c>
      <c r="G92" s="115"/>
      <c r="H92" s="89"/>
      <c r="I92" s="89"/>
      <c r="J92" s="90">
        <v>74.942399999999992</v>
      </c>
      <c r="K92" s="89">
        <f t="shared" si="43"/>
        <v>14.988479999999999</v>
      </c>
      <c r="L92" s="89">
        <v>14.988479999999999</v>
      </c>
      <c r="M92" s="115"/>
      <c r="N92" s="89"/>
      <c r="O92" s="89">
        <f t="shared" si="44"/>
        <v>22275.01152</v>
      </c>
      <c r="P92" s="89">
        <f t="shared" si="45"/>
        <v>0</v>
      </c>
      <c r="Q92" s="91">
        <f t="shared" si="41"/>
        <v>0.00067243068640646022</v>
      </c>
      <c r="R92" s="91"/>
      <c r="S92" s="92" t="s">
        <v>180</v>
      </c>
    </row>
    <row r="93" ht="81" customHeight="1">
      <c r="A93" s="129" t="s">
        <v>181</v>
      </c>
      <c r="B93" s="124" t="s">
        <v>182</v>
      </c>
      <c r="C93" s="116"/>
      <c r="D93" s="88" t="s">
        <v>36</v>
      </c>
      <c r="E93" s="89">
        <f t="shared" si="36"/>
        <v>17290</v>
      </c>
      <c r="F93" s="89">
        <v>17290</v>
      </c>
      <c r="G93" s="115"/>
      <c r="H93" s="89"/>
      <c r="I93" s="89"/>
      <c r="J93" s="90"/>
      <c r="K93" s="89">
        <f t="shared" si="43"/>
        <v>0</v>
      </c>
      <c r="L93" s="89"/>
      <c r="M93" s="115"/>
      <c r="N93" s="89"/>
      <c r="O93" s="89">
        <f t="shared" si="44"/>
        <v>17290</v>
      </c>
      <c r="P93" s="89">
        <f t="shared" si="45"/>
        <v>0</v>
      </c>
      <c r="Q93" s="91">
        <f t="shared" si="41"/>
        <v>0</v>
      </c>
      <c r="R93" s="91"/>
      <c r="S93" s="92" t="s">
        <v>175</v>
      </c>
    </row>
    <row r="94" ht="78" customHeight="1">
      <c r="A94" s="129" t="s">
        <v>183</v>
      </c>
      <c r="B94" s="124" t="s">
        <v>184</v>
      </c>
      <c r="C94" s="116"/>
      <c r="D94" s="88" t="s">
        <v>36</v>
      </c>
      <c r="E94" s="89">
        <f t="shared" si="36"/>
        <v>17290</v>
      </c>
      <c r="F94" s="89">
        <v>17290</v>
      </c>
      <c r="G94" s="115"/>
      <c r="H94" s="89"/>
      <c r="I94" s="89"/>
      <c r="J94" s="90">
        <v>74.942399999999992</v>
      </c>
      <c r="K94" s="89">
        <f t="shared" si="43"/>
        <v>14.988479999999999</v>
      </c>
      <c r="L94" s="89">
        <f>14.98848</f>
        <v>14.988479999999999</v>
      </c>
      <c r="M94" s="115"/>
      <c r="N94" s="89"/>
      <c r="O94" s="89">
        <f t="shared" si="44"/>
        <v>17275.01152</v>
      </c>
      <c r="P94" s="89">
        <f t="shared" si="45"/>
        <v>0</v>
      </c>
      <c r="Q94" s="91">
        <f t="shared" si="41"/>
        <v>0.00086688721804511278</v>
      </c>
      <c r="R94" s="91"/>
      <c r="S94" s="92" t="s">
        <v>180</v>
      </c>
    </row>
    <row r="95" ht="85.5" customHeight="1">
      <c r="A95" s="101"/>
      <c r="B95" s="124" t="s">
        <v>185</v>
      </c>
      <c r="C95" s="116"/>
      <c r="D95" s="88" t="s">
        <v>36</v>
      </c>
      <c r="E95" s="89">
        <f t="shared" si="36"/>
        <v>22290</v>
      </c>
      <c r="F95" s="89">
        <v>22290</v>
      </c>
      <c r="G95" s="115"/>
      <c r="H95" s="89"/>
      <c r="I95" s="89"/>
      <c r="J95" s="90"/>
      <c r="K95" s="89">
        <f t="shared" si="43"/>
        <v>0</v>
      </c>
      <c r="L95" s="89"/>
      <c r="M95" s="115"/>
      <c r="N95" s="89"/>
      <c r="O95" s="89">
        <f t="shared" si="44"/>
        <v>22290</v>
      </c>
      <c r="P95" s="89">
        <f t="shared" si="45"/>
        <v>0</v>
      </c>
      <c r="Q95" s="91">
        <f t="shared" si="41"/>
        <v>0</v>
      </c>
      <c r="R95" s="91"/>
      <c r="S95" s="92" t="s">
        <v>180</v>
      </c>
    </row>
    <row r="96" ht="81.75" customHeight="1">
      <c r="A96" s="129" t="s">
        <v>112</v>
      </c>
      <c r="B96" s="124" t="s">
        <v>186</v>
      </c>
      <c r="C96" s="116"/>
      <c r="D96" s="88" t="s">
        <v>36</v>
      </c>
      <c r="E96" s="89">
        <f t="shared" si="36"/>
        <v>22193.299999999999</v>
      </c>
      <c r="F96" s="89">
        <v>22193.299999999999</v>
      </c>
      <c r="G96" s="115"/>
      <c r="H96" s="89"/>
      <c r="I96" s="89"/>
      <c r="J96" s="90"/>
      <c r="K96" s="89">
        <f t="shared" si="43"/>
        <v>0</v>
      </c>
      <c r="L96" s="89"/>
      <c r="M96" s="115"/>
      <c r="N96" s="89"/>
      <c r="O96" s="89">
        <f t="shared" si="44"/>
        <v>22193.299999999999</v>
      </c>
      <c r="P96" s="89">
        <f t="shared" si="45"/>
        <v>0</v>
      </c>
      <c r="Q96" s="91">
        <f t="shared" si="41"/>
        <v>0</v>
      </c>
      <c r="R96" s="91"/>
      <c r="S96" s="92" t="s">
        <v>180</v>
      </c>
    </row>
    <row r="97" ht="80.25" customHeight="1">
      <c r="A97" s="101"/>
      <c r="B97" s="124" t="s">
        <v>187</v>
      </c>
      <c r="C97" s="116"/>
      <c r="D97" s="88" t="s">
        <v>36</v>
      </c>
      <c r="E97" s="89">
        <f t="shared" si="36"/>
        <v>22290</v>
      </c>
      <c r="F97" s="89">
        <v>22290</v>
      </c>
      <c r="G97" s="115"/>
      <c r="H97" s="89"/>
      <c r="I97" s="89"/>
      <c r="J97" s="90">
        <v>74.942399999999992</v>
      </c>
      <c r="K97" s="89">
        <f t="shared" si="43"/>
        <v>14.988479999999999</v>
      </c>
      <c r="L97" s="89">
        <f t="shared" ref="L97:L102" si="46">14.98848</f>
        <v>14.988479999999999</v>
      </c>
      <c r="M97" s="115"/>
      <c r="N97" s="89"/>
      <c r="O97" s="89">
        <f t="shared" si="44"/>
        <v>22275.01152</v>
      </c>
      <c r="P97" s="89">
        <f t="shared" si="45"/>
        <v>0</v>
      </c>
      <c r="Q97" s="91">
        <f t="shared" si="41"/>
        <v>0.00067243068640646022</v>
      </c>
      <c r="R97" s="91"/>
      <c r="S97" s="92" t="s">
        <v>175</v>
      </c>
    </row>
    <row r="98" ht="81.75" customHeight="1">
      <c r="A98" s="101"/>
      <c r="B98" s="124" t="s">
        <v>188</v>
      </c>
      <c r="C98" s="116"/>
      <c r="D98" s="88" t="s">
        <v>36</v>
      </c>
      <c r="E98" s="89">
        <f t="shared" si="36"/>
        <v>22290</v>
      </c>
      <c r="F98" s="89">
        <v>22290</v>
      </c>
      <c r="G98" s="115"/>
      <c r="H98" s="89"/>
      <c r="I98" s="89"/>
      <c r="J98" s="90">
        <v>74.942399999999992</v>
      </c>
      <c r="K98" s="89">
        <f t="shared" si="43"/>
        <v>14.988479999999999</v>
      </c>
      <c r="L98" s="89">
        <f t="shared" si="46"/>
        <v>14.988479999999999</v>
      </c>
      <c r="M98" s="115"/>
      <c r="N98" s="89"/>
      <c r="O98" s="89">
        <f t="shared" si="44"/>
        <v>22275.01152</v>
      </c>
      <c r="P98" s="89">
        <f t="shared" si="45"/>
        <v>0</v>
      </c>
      <c r="Q98" s="91">
        <f t="shared" si="41"/>
        <v>0.00067243068640646022</v>
      </c>
      <c r="R98" s="91"/>
      <c r="S98" s="92" t="s">
        <v>180</v>
      </c>
    </row>
    <row r="99" ht="81.75" customHeight="1">
      <c r="A99" s="101"/>
      <c r="B99" s="124" t="s">
        <v>189</v>
      </c>
      <c r="C99" s="116"/>
      <c r="D99" s="88" t="s">
        <v>36</v>
      </c>
      <c r="E99" s="89">
        <f t="shared" si="36"/>
        <v>17290</v>
      </c>
      <c r="F99" s="89">
        <v>17290</v>
      </c>
      <c r="G99" s="115"/>
      <c r="H99" s="89"/>
      <c r="I99" s="89"/>
      <c r="J99" s="90">
        <v>74.942399999999992</v>
      </c>
      <c r="K99" s="89">
        <f t="shared" si="43"/>
        <v>14.988479999999999</v>
      </c>
      <c r="L99" s="89">
        <f t="shared" si="46"/>
        <v>14.988479999999999</v>
      </c>
      <c r="M99" s="115"/>
      <c r="N99" s="89"/>
      <c r="O99" s="89">
        <f t="shared" si="44"/>
        <v>17275.01152</v>
      </c>
      <c r="P99" s="89">
        <f t="shared" si="45"/>
        <v>0</v>
      </c>
      <c r="Q99" s="91">
        <f t="shared" si="41"/>
        <v>0.00086688721804511278</v>
      </c>
      <c r="R99" s="91"/>
      <c r="S99" s="92" t="s">
        <v>175</v>
      </c>
    </row>
    <row r="100" ht="63" customHeight="1">
      <c r="A100" s="101"/>
      <c r="B100" s="124" t="s">
        <v>190</v>
      </c>
      <c r="C100" s="116"/>
      <c r="D100" s="88" t="s">
        <v>36</v>
      </c>
      <c r="E100" s="89">
        <f t="shared" si="36"/>
        <v>17850</v>
      </c>
      <c r="F100" s="89">
        <v>17850</v>
      </c>
      <c r="G100" s="115"/>
      <c r="H100" s="89"/>
      <c r="I100" s="89"/>
      <c r="J100" s="90"/>
      <c r="K100" s="89">
        <f t="shared" si="43"/>
        <v>0</v>
      </c>
      <c r="L100" s="89"/>
      <c r="M100" s="115"/>
      <c r="N100" s="89"/>
      <c r="O100" s="89">
        <f t="shared" si="44"/>
        <v>17850</v>
      </c>
      <c r="P100" s="89">
        <f t="shared" si="45"/>
        <v>0</v>
      </c>
      <c r="Q100" s="91">
        <f t="shared" si="41"/>
        <v>0</v>
      </c>
      <c r="R100" s="91"/>
      <c r="S100" s="92"/>
    </row>
    <row r="101" ht="79.5" customHeight="1">
      <c r="A101" s="129" t="s">
        <v>191</v>
      </c>
      <c r="B101" s="124" t="s">
        <v>192</v>
      </c>
      <c r="C101" s="116"/>
      <c r="D101" s="88" t="s">
        <v>36</v>
      </c>
      <c r="E101" s="89">
        <f t="shared" si="36"/>
        <v>17225.599999999999</v>
      </c>
      <c r="F101" s="89">
        <v>17225.599999999999</v>
      </c>
      <c r="G101" s="115"/>
      <c r="H101" s="89"/>
      <c r="I101" s="89"/>
      <c r="J101" s="90"/>
      <c r="K101" s="89">
        <f t="shared" si="43"/>
        <v>0</v>
      </c>
      <c r="L101" s="89"/>
      <c r="M101" s="115"/>
      <c r="N101" s="89"/>
      <c r="O101" s="89">
        <f t="shared" si="44"/>
        <v>17225.599999999999</v>
      </c>
      <c r="P101" s="89">
        <f t="shared" si="45"/>
        <v>0</v>
      </c>
      <c r="Q101" s="91">
        <f t="shared" si="41"/>
        <v>0</v>
      </c>
      <c r="R101" s="91"/>
      <c r="S101" s="92" t="s">
        <v>180</v>
      </c>
    </row>
    <row r="102" ht="81" customHeight="1">
      <c r="A102" s="129" t="s">
        <v>193</v>
      </c>
      <c r="B102" s="124" t="s">
        <v>194</v>
      </c>
      <c r="C102" s="116"/>
      <c r="D102" s="88" t="s">
        <v>36</v>
      </c>
      <c r="E102" s="89">
        <f t="shared" si="36"/>
        <v>17290</v>
      </c>
      <c r="F102" s="89">
        <v>17290</v>
      </c>
      <c r="G102" s="115"/>
      <c r="H102" s="89"/>
      <c r="I102" s="89"/>
      <c r="J102" s="90">
        <v>74.942399999999992</v>
      </c>
      <c r="K102" s="89">
        <f t="shared" si="43"/>
        <v>14.988479999999999</v>
      </c>
      <c r="L102" s="89">
        <f t="shared" si="46"/>
        <v>14.988479999999999</v>
      </c>
      <c r="M102" s="115"/>
      <c r="N102" s="89"/>
      <c r="O102" s="89">
        <f t="shared" si="44"/>
        <v>17275.01152</v>
      </c>
      <c r="P102" s="89">
        <f t="shared" si="45"/>
        <v>0</v>
      </c>
      <c r="Q102" s="91">
        <f t="shared" si="41"/>
        <v>0.00086688721804511278</v>
      </c>
      <c r="R102" s="91"/>
      <c r="S102" s="92" t="s">
        <v>180</v>
      </c>
    </row>
    <row r="103" ht="69" customHeight="1">
      <c r="A103" s="101"/>
      <c r="B103" s="124" t="s">
        <v>195</v>
      </c>
      <c r="C103" s="116"/>
      <c r="D103" s="88" t="s">
        <v>36</v>
      </c>
      <c r="E103" s="89">
        <f t="shared" si="36"/>
        <v>17290</v>
      </c>
      <c r="F103" s="89">
        <v>17290</v>
      </c>
      <c r="G103" s="115"/>
      <c r="H103" s="89"/>
      <c r="I103" s="89"/>
      <c r="J103" s="90"/>
      <c r="K103" s="89">
        <f t="shared" si="43"/>
        <v>0</v>
      </c>
      <c r="L103" s="89"/>
      <c r="M103" s="115"/>
      <c r="N103" s="89"/>
      <c r="O103" s="89">
        <f t="shared" si="44"/>
        <v>17290</v>
      </c>
      <c r="P103" s="89">
        <f t="shared" si="45"/>
        <v>0</v>
      </c>
      <c r="Q103" s="91">
        <f t="shared" si="41"/>
        <v>0</v>
      </c>
      <c r="R103" s="91"/>
      <c r="S103" s="92" t="s">
        <v>180</v>
      </c>
    </row>
    <row r="104" ht="69.75" customHeight="1">
      <c r="A104" s="101"/>
      <c r="B104" s="124" t="s">
        <v>196</v>
      </c>
      <c r="C104" s="116"/>
      <c r="D104" s="88" t="s">
        <v>36</v>
      </c>
      <c r="E104" s="89">
        <f t="shared" si="36"/>
        <v>21842.5</v>
      </c>
      <c r="F104" s="89">
        <v>21842.5</v>
      </c>
      <c r="G104" s="115"/>
      <c r="H104" s="89"/>
      <c r="I104" s="89"/>
      <c r="J104" s="90"/>
      <c r="K104" s="89">
        <f t="shared" si="43"/>
        <v>0</v>
      </c>
      <c r="L104" s="89"/>
      <c r="M104" s="115"/>
      <c r="N104" s="89"/>
      <c r="O104" s="89">
        <f t="shared" si="44"/>
        <v>21842.5</v>
      </c>
      <c r="P104" s="89">
        <f t="shared" si="45"/>
        <v>0</v>
      </c>
      <c r="Q104" s="91">
        <f t="shared" si="41"/>
        <v>0</v>
      </c>
      <c r="R104" s="91"/>
      <c r="S104" s="92" t="s">
        <v>180</v>
      </c>
    </row>
    <row r="105" ht="70.5" customHeight="1">
      <c r="A105" s="101"/>
      <c r="B105" s="124" t="s">
        <v>197</v>
      </c>
      <c r="C105" s="116"/>
      <c r="D105" s="88" t="s">
        <v>36</v>
      </c>
      <c r="E105" s="89">
        <f t="shared" si="36"/>
        <v>17236.400000000001</v>
      </c>
      <c r="F105" s="89">
        <v>17236.400000000001</v>
      </c>
      <c r="G105" s="115"/>
      <c r="H105" s="89"/>
      <c r="I105" s="89"/>
      <c r="J105" s="90"/>
      <c r="K105" s="89">
        <f t="shared" si="43"/>
        <v>0</v>
      </c>
      <c r="L105" s="89"/>
      <c r="M105" s="115"/>
      <c r="N105" s="89"/>
      <c r="O105" s="89">
        <f t="shared" si="44"/>
        <v>17236.400000000001</v>
      </c>
      <c r="P105" s="89">
        <f t="shared" si="45"/>
        <v>0</v>
      </c>
      <c r="Q105" s="91">
        <f t="shared" si="41"/>
        <v>0</v>
      </c>
      <c r="R105" s="91"/>
      <c r="S105" s="92" t="s">
        <v>180</v>
      </c>
    </row>
    <row r="106" ht="69" customHeight="1">
      <c r="A106" s="129" t="s">
        <v>198</v>
      </c>
      <c r="B106" s="124" t="s">
        <v>199</v>
      </c>
      <c r="C106" s="116"/>
      <c r="D106" s="88" t="s">
        <v>36</v>
      </c>
      <c r="E106" s="89">
        <f t="shared" si="36"/>
        <v>22230.900000000001</v>
      </c>
      <c r="F106" s="89">
        <v>22230.900000000001</v>
      </c>
      <c r="G106" s="115"/>
      <c r="H106" s="89"/>
      <c r="I106" s="89"/>
      <c r="J106" s="90"/>
      <c r="K106" s="89">
        <f t="shared" si="43"/>
        <v>0</v>
      </c>
      <c r="L106" s="89"/>
      <c r="M106" s="115"/>
      <c r="N106" s="89"/>
      <c r="O106" s="89">
        <f t="shared" si="44"/>
        <v>22230.900000000001</v>
      </c>
      <c r="P106" s="89">
        <f t="shared" si="45"/>
        <v>0</v>
      </c>
      <c r="Q106" s="91">
        <f t="shared" si="41"/>
        <v>0</v>
      </c>
      <c r="R106" s="91"/>
      <c r="S106" s="92" t="s">
        <v>175</v>
      </c>
    </row>
    <row r="107" ht="81" customHeight="1">
      <c r="A107" s="129" t="s">
        <v>200</v>
      </c>
      <c r="B107" s="124" t="s">
        <v>201</v>
      </c>
      <c r="C107" s="116"/>
      <c r="D107" s="88" t="s">
        <v>36</v>
      </c>
      <c r="E107" s="89">
        <f t="shared" ref="E107:E122" si="47">F107+G107+H107</f>
        <v>3000</v>
      </c>
      <c r="F107" s="89">
        <v>3000</v>
      </c>
      <c r="G107" s="115"/>
      <c r="H107" s="89"/>
      <c r="I107" s="89"/>
      <c r="J107" s="90"/>
      <c r="K107" s="89">
        <f t="shared" ref="K107:K122" si="48">L107+M107+N107</f>
        <v>0</v>
      </c>
      <c r="L107" s="89"/>
      <c r="M107" s="115"/>
      <c r="N107" s="89"/>
      <c r="O107" s="89">
        <f t="shared" si="44"/>
        <v>3000</v>
      </c>
      <c r="P107" s="89">
        <f t="shared" si="45"/>
        <v>0</v>
      </c>
      <c r="Q107" s="91">
        <f t="shared" si="41"/>
        <v>0</v>
      </c>
      <c r="R107" s="91"/>
      <c r="S107" s="92"/>
    </row>
    <row r="108" ht="81" customHeight="1">
      <c r="A108" s="129"/>
      <c r="B108" s="124" t="s">
        <v>202</v>
      </c>
      <c r="C108" s="116"/>
      <c r="D108" s="88" t="s">
        <v>36</v>
      </c>
      <c r="E108" s="89">
        <f t="shared" si="47"/>
        <v>3000</v>
      </c>
      <c r="F108" s="89">
        <v>3000</v>
      </c>
      <c r="G108" s="115"/>
      <c r="H108" s="89"/>
      <c r="I108" s="89"/>
      <c r="J108" s="90"/>
      <c r="K108" s="89">
        <f t="shared" si="48"/>
        <v>0</v>
      </c>
      <c r="L108" s="89"/>
      <c r="M108" s="115"/>
      <c r="N108" s="89"/>
      <c r="O108" s="89">
        <f t="shared" si="44"/>
        <v>3000</v>
      </c>
      <c r="P108" s="89">
        <f t="shared" si="45"/>
        <v>0</v>
      </c>
      <c r="Q108" s="91">
        <f t="shared" ref="Q108:Q171" si="49">L108/F108</f>
        <v>0</v>
      </c>
      <c r="R108" s="91"/>
      <c r="S108" s="92"/>
    </row>
    <row r="109" ht="69" customHeight="1">
      <c r="A109" s="129" t="s">
        <v>203</v>
      </c>
      <c r="B109" s="124" t="s">
        <v>204</v>
      </c>
      <c r="C109" s="116"/>
      <c r="D109" s="88" t="s">
        <v>36</v>
      </c>
      <c r="E109" s="89">
        <f t="shared" si="47"/>
        <v>3000</v>
      </c>
      <c r="F109" s="89">
        <v>3000</v>
      </c>
      <c r="G109" s="115"/>
      <c r="H109" s="89"/>
      <c r="I109" s="89"/>
      <c r="J109" s="90"/>
      <c r="K109" s="89">
        <f t="shared" si="48"/>
        <v>0</v>
      </c>
      <c r="L109" s="89"/>
      <c r="M109" s="115"/>
      <c r="N109" s="89"/>
      <c r="O109" s="89">
        <f t="shared" si="44"/>
        <v>3000</v>
      </c>
      <c r="P109" s="89">
        <f t="shared" si="45"/>
        <v>0</v>
      </c>
      <c r="Q109" s="91">
        <f t="shared" si="49"/>
        <v>0</v>
      </c>
      <c r="R109" s="91"/>
      <c r="S109" s="92"/>
    </row>
    <row r="110" ht="68.25" customHeight="1">
      <c r="A110" s="129" t="s">
        <v>205</v>
      </c>
      <c r="B110" s="124" t="s">
        <v>206</v>
      </c>
      <c r="C110" s="116"/>
      <c r="D110" s="88" t="s">
        <v>36</v>
      </c>
      <c r="E110" s="89">
        <f t="shared" si="47"/>
        <v>3000</v>
      </c>
      <c r="F110" s="89">
        <v>3000</v>
      </c>
      <c r="G110" s="115"/>
      <c r="H110" s="89"/>
      <c r="I110" s="89"/>
      <c r="J110" s="90"/>
      <c r="K110" s="89">
        <f t="shared" si="48"/>
        <v>0</v>
      </c>
      <c r="L110" s="89"/>
      <c r="M110" s="115"/>
      <c r="N110" s="89"/>
      <c r="O110" s="89">
        <f t="shared" si="44"/>
        <v>3000</v>
      </c>
      <c r="P110" s="89">
        <f t="shared" si="45"/>
        <v>0</v>
      </c>
      <c r="Q110" s="91">
        <f t="shared" si="49"/>
        <v>0</v>
      </c>
      <c r="R110" s="91"/>
      <c r="S110" s="92"/>
    </row>
    <row r="111" ht="68.25" customHeight="1">
      <c r="A111" s="129"/>
      <c r="B111" s="124" t="s">
        <v>207</v>
      </c>
      <c r="C111" s="116"/>
      <c r="D111" s="88" t="s">
        <v>36</v>
      </c>
      <c r="E111" s="89">
        <f t="shared" si="47"/>
        <v>3000</v>
      </c>
      <c r="F111" s="89">
        <v>3000</v>
      </c>
      <c r="G111" s="115"/>
      <c r="H111" s="89"/>
      <c r="I111" s="89"/>
      <c r="J111" s="90"/>
      <c r="K111" s="89">
        <f t="shared" si="48"/>
        <v>0</v>
      </c>
      <c r="L111" s="89"/>
      <c r="M111" s="115"/>
      <c r="N111" s="89"/>
      <c r="O111" s="89">
        <f t="shared" si="44"/>
        <v>3000</v>
      </c>
      <c r="P111" s="89">
        <f t="shared" si="45"/>
        <v>0</v>
      </c>
      <c r="Q111" s="91">
        <f t="shared" si="49"/>
        <v>0</v>
      </c>
      <c r="R111" s="91"/>
      <c r="S111" s="92"/>
    </row>
    <row r="112" ht="69" customHeight="1">
      <c r="A112" s="129"/>
      <c r="B112" s="124" t="s">
        <v>208</v>
      </c>
      <c r="C112" s="116"/>
      <c r="D112" s="88" t="s">
        <v>36</v>
      </c>
      <c r="E112" s="89">
        <f t="shared" si="47"/>
        <v>3000</v>
      </c>
      <c r="F112" s="89">
        <v>3000</v>
      </c>
      <c r="G112" s="115"/>
      <c r="H112" s="89"/>
      <c r="I112" s="89"/>
      <c r="J112" s="90"/>
      <c r="K112" s="89">
        <f t="shared" si="48"/>
        <v>0</v>
      </c>
      <c r="L112" s="89"/>
      <c r="M112" s="115"/>
      <c r="N112" s="89"/>
      <c r="O112" s="89">
        <f t="shared" si="44"/>
        <v>3000</v>
      </c>
      <c r="P112" s="89">
        <f t="shared" si="45"/>
        <v>0</v>
      </c>
      <c r="Q112" s="91">
        <f t="shared" si="49"/>
        <v>0</v>
      </c>
      <c r="R112" s="91"/>
      <c r="S112" s="92"/>
    </row>
    <row r="113" ht="69" customHeight="1">
      <c r="A113" s="129" t="s">
        <v>209</v>
      </c>
      <c r="B113" s="124" t="s">
        <v>210</v>
      </c>
      <c r="C113" s="116"/>
      <c r="D113" s="88" t="s">
        <v>36</v>
      </c>
      <c r="E113" s="89">
        <f t="shared" si="47"/>
        <v>3000</v>
      </c>
      <c r="F113" s="89">
        <v>3000</v>
      </c>
      <c r="G113" s="115"/>
      <c r="H113" s="89"/>
      <c r="I113" s="89"/>
      <c r="J113" s="90"/>
      <c r="K113" s="89">
        <f t="shared" si="48"/>
        <v>0</v>
      </c>
      <c r="L113" s="89"/>
      <c r="M113" s="115"/>
      <c r="N113" s="89"/>
      <c r="O113" s="89">
        <f t="shared" si="44"/>
        <v>3000</v>
      </c>
      <c r="P113" s="89">
        <f t="shared" si="45"/>
        <v>0</v>
      </c>
      <c r="Q113" s="91">
        <f t="shared" si="49"/>
        <v>0</v>
      </c>
      <c r="R113" s="91"/>
      <c r="S113" s="92"/>
    </row>
    <row r="114" ht="66.75" customHeight="1">
      <c r="A114" s="129" t="s">
        <v>211</v>
      </c>
      <c r="B114" s="124" t="s">
        <v>212</v>
      </c>
      <c r="C114" s="116"/>
      <c r="D114" s="88" t="s">
        <v>36</v>
      </c>
      <c r="E114" s="89">
        <f t="shared" si="47"/>
        <v>3000</v>
      </c>
      <c r="F114" s="89">
        <v>3000</v>
      </c>
      <c r="G114" s="115"/>
      <c r="H114" s="89"/>
      <c r="I114" s="89"/>
      <c r="J114" s="90"/>
      <c r="K114" s="89">
        <f t="shared" si="48"/>
        <v>0</v>
      </c>
      <c r="L114" s="89"/>
      <c r="M114" s="115"/>
      <c r="N114" s="89"/>
      <c r="O114" s="89">
        <f t="shared" si="44"/>
        <v>3000</v>
      </c>
      <c r="P114" s="89">
        <f t="shared" si="45"/>
        <v>0</v>
      </c>
      <c r="Q114" s="91">
        <f t="shared" si="49"/>
        <v>0</v>
      </c>
      <c r="R114" s="91"/>
      <c r="S114" s="92"/>
    </row>
    <row r="115" ht="81" customHeight="1">
      <c r="A115" s="129"/>
      <c r="B115" s="124" t="s">
        <v>213</v>
      </c>
      <c r="C115" s="116"/>
      <c r="D115" s="88" t="s">
        <v>36</v>
      </c>
      <c r="E115" s="89">
        <f t="shared" si="47"/>
        <v>3000</v>
      </c>
      <c r="F115" s="89">
        <v>3000</v>
      </c>
      <c r="G115" s="115"/>
      <c r="H115" s="89"/>
      <c r="I115" s="89"/>
      <c r="J115" s="90"/>
      <c r="K115" s="89">
        <f t="shared" si="48"/>
        <v>0</v>
      </c>
      <c r="L115" s="89"/>
      <c r="M115" s="115"/>
      <c r="N115" s="89"/>
      <c r="O115" s="89">
        <f t="shared" si="44"/>
        <v>3000</v>
      </c>
      <c r="P115" s="89">
        <f t="shared" si="45"/>
        <v>0</v>
      </c>
      <c r="Q115" s="91">
        <f t="shared" si="49"/>
        <v>0</v>
      </c>
      <c r="R115" s="91"/>
      <c r="S115" s="92"/>
    </row>
    <row r="116" ht="69" customHeight="1">
      <c r="A116" s="129"/>
      <c r="B116" s="124" t="s">
        <v>214</v>
      </c>
      <c r="C116" s="116"/>
      <c r="D116" s="88" t="s">
        <v>36</v>
      </c>
      <c r="E116" s="89">
        <f t="shared" si="47"/>
        <v>3000</v>
      </c>
      <c r="F116" s="89">
        <v>3000</v>
      </c>
      <c r="G116" s="115"/>
      <c r="H116" s="89"/>
      <c r="I116" s="89"/>
      <c r="J116" s="90"/>
      <c r="K116" s="89">
        <f t="shared" si="48"/>
        <v>0</v>
      </c>
      <c r="L116" s="89"/>
      <c r="M116" s="115"/>
      <c r="N116" s="89"/>
      <c r="O116" s="89">
        <f t="shared" si="44"/>
        <v>3000</v>
      </c>
      <c r="P116" s="89">
        <f t="shared" si="45"/>
        <v>0</v>
      </c>
      <c r="Q116" s="91">
        <f t="shared" si="49"/>
        <v>0</v>
      </c>
      <c r="R116" s="91"/>
      <c r="S116" s="92"/>
    </row>
    <row r="117" ht="66" customHeight="1">
      <c r="A117" s="129" t="s">
        <v>215</v>
      </c>
      <c r="B117" s="124" t="s">
        <v>216</v>
      </c>
      <c r="C117" s="116"/>
      <c r="D117" s="88" t="s">
        <v>36</v>
      </c>
      <c r="E117" s="89">
        <f t="shared" si="47"/>
        <v>3000</v>
      </c>
      <c r="F117" s="89">
        <v>3000</v>
      </c>
      <c r="G117" s="115"/>
      <c r="H117" s="89"/>
      <c r="I117" s="89"/>
      <c r="J117" s="90"/>
      <c r="K117" s="89">
        <f t="shared" si="48"/>
        <v>0</v>
      </c>
      <c r="L117" s="89"/>
      <c r="M117" s="115"/>
      <c r="N117" s="89"/>
      <c r="O117" s="89">
        <f t="shared" si="44"/>
        <v>3000</v>
      </c>
      <c r="P117" s="89">
        <f t="shared" si="45"/>
        <v>0</v>
      </c>
      <c r="Q117" s="91">
        <f t="shared" si="49"/>
        <v>0</v>
      </c>
      <c r="R117" s="91"/>
      <c r="S117" s="92"/>
    </row>
    <row r="118" ht="69" customHeight="1">
      <c r="A118" s="129"/>
      <c r="B118" s="124" t="s">
        <v>217</v>
      </c>
      <c r="C118" s="116"/>
      <c r="D118" s="88" t="s">
        <v>36</v>
      </c>
      <c r="E118" s="89">
        <f t="shared" si="47"/>
        <v>3000</v>
      </c>
      <c r="F118" s="89">
        <v>3000</v>
      </c>
      <c r="G118" s="115"/>
      <c r="H118" s="89"/>
      <c r="I118" s="89"/>
      <c r="J118" s="90"/>
      <c r="K118" s="89">
        <f t="shared" si="48"/>
        <v>0</v>
      </c>
      <c r="L118" s="89"/>
      <c r="M118" s="115"/>
      <c r="N118" s="89"/>
      <c r="O118" s="89">
        <f t="shared" si="44"/>
        <v>3000</v>
      </c>
      <c r="P118" s="89">
        <f t="shared" si="45"/>
        <v>0</v>
      </c>
      <c r="Q118" s="91">
        <f t="shared" si="49"/>
        <v>0</v>
      </c>
      <c r="R118" s="91"/>
      <c r="S118" s="92"/>
    </row>
    <row r="119" ht="69" customHeight="1">
      <c r="A119" s="129" t="s">
        <v>218</v>
      </c>
      <c r="B119" s="124" t="s">
        <v>219</v>
      </c>
      <c r="C119" s="116"/>
      <c r="D119" s="88" t="s">
        <v>36</v>
      </c>
      <c r="E119" s="89">
        <f t="shared" si="47"/>
        <v>3000</v>
      </c>
      <c r="F119" s="89">
        <v>3000</v>
      </c>
      <c r="G119" s="115"/>
      <c r="H119" s="89"/>
      <c r="I119" s="89"/>
      <c r="J119" s="90"/>
      <c r="K119" s="89">
        <f t="shared" si="48"/>
        <v>0</v>
      </c>
      <c r="L119" s="89"/>
      <c r="M119" s="115"/>
      <c r="N119" s="89"/>
      <c r="O119" s="89">
        <f t="shared" si="44"/>
        <v>3000</v>
      </c>
      <c r="P119" s="89">
        <f t="shared" si="45"/>
        <v>0</v>
      </c>
      <c r="Q119" s="91">
        <f t="shared" si="49"/>
        <v>0</v>
      </c>
      <c r="R119" s="91"/>
      <c r="S119" s="92"/>
    </row>
    <row r="120" ht="67.5" customHeight="1">
      <c r="A120" s="129" t="s">
        <v>220</v>
      </c>
      <c r="B120" s="124" t="s">
        <v>221</v>
      </c>
      <c r="C120" s="116"/>
      <c r="D120" s="88" t="s">
        <v>36</v>
      </c>
      <c r="E120" s="89">
        <f t="shared" si="47"/>
        <v>3000</v>
      </c>
      <c r="F120" s="89">
        <v>3000</v>
      </c>
      <c r="G120" s="115"/>
      <c r="H120" s="89"/>
      <c r="I120" s="89"/>
      <c r="J120" s="90"/>
      <c r="K120" s="89">
        <f t="shared" si="48"/>
        <v>0</v>
      </c>
      <c r="L120" s="89"/>
      <c r="M120" s="115"/>
      <c r="N120" s="89"/>
      <c r="O120" s="89">
        <f t="shared" si="44"/>
        <v>3000</v>
      </c>
      <c r="P120" s="89">
        <f t="shared" si="45"/>
        <v>0</v>
      </c>
      <c r="Q120" s="91">
        <f t="shared" si="49"/>
        <v>0</v>
      </c>
      <c r="R120" s="91"/>
      <c r="S120" s="92"/>
    </row>
    <row r="121" ht="67.5" customHeight="1">
      <c r="A121" s="129" t="s">
        <v>222</v>
      </c>
      <c r="B121" s="124" t="s">
        <v>223</v>
      </c>
      <c r="C121" s="116"/>
      <c r="D121" s="88" t="s">
        <v>36</v>
      </c>
      <c r="E121" s="89">
        <f t="shared" si="47"/>
        <v>3000</v>
      </c>
      <c r="F121" s="89">
        <v>3000</v>
      </c>
      <c r="G121" s="115"/>
      <c r="H121" s="89"/>
      <c r="I121" s="89"/>
      <c r="J121" s="90"/>
      <c r="K121" s="89">
        <f t="shared" si="48"/>
        <v>0</v>
      </c>
      <c r="L121" s="89"/>
      <c r="M121" s="115"/>
      <c r="N121" s="89"/>
      <c r="O121" s="89">
        <f t="shared" si="44"/>
        <v>3000</v>
      </c>
      <c r="P121" s="89">
        <f t="shared" si="45"/>
        <v>0</v>
      </c>
      <c r="Q121" s="91">
        <f t="shared" si="49"/>
        <v>0</v>
      </c>
      <c r="R121" s="91"/>
      <c r="S121" s="92"/>
    </row>
    <row r="122" ht="81" customHeight="1">
      <c r="A122" s="129" t="s">
        <v>224</v>
      </c>
      <c r="B122" s="124" t="s">
        <v>225</v>
      </c>
      <c r="C122" s="116"/>
      <c r="D122" s="88" t="s">
        <v>36</v>
      </c>
      <c r="E122" s="89">
        <f t="shared" si="47"/>
        <v>3000</v>
      </c>
      <c r="F122" s="89">
        <v>3000</v>
      </c>
      <c r="G122" s="115"/>
      <c r="H122" s="89"/>
      <c r="I122" s="89"/>
      <c r="J122" s="90"/>
      <c r="K122" s="89">
        <f t="shared" si="48"/>
        <v>0</v>
      </c>
      <c r="L122" s="89"/>
      <c r="M122" s="115"/>
      <c r="N122" s="89"/>
      <c r="O122" s="89">
        <f t="shared" si="44"/>
        <v>3000</v>
      </c>
      <c r="P122" s="89">
        <f t="shared" si="45"/>
        <v>0</v>
      </c>
      <c r="Q122" s="91">
        <f t="shared" si="49"/>
        <v>0</v>
      </c>
      <c r="R122" s="91"/>
      <c r="S122" s="92"/>
    </row>
    <row r="123" s="55" customFormat="1" ht="39" customHeight="1">
      <c r="A123" s="79"/>
      <c r="B123" s="79" t="s">
        <v>28</v>
      </c>
      <c r="C123" s="130"/>
      <c r="D123" s="130"/>
      <c r="E123" s="82">
        <f t="shared" ref="E123:P123" si="50">SUM(E124:E130)</f>
        <v>577489.57817999995</v>
      </c>
      <c r="F123" s="82">
        <f t="shared" si="50"/>
        <v>577489.57817999995</v>
      </c>
      <c r="G123" s="82">
        <f t="shared" si="50"/>
        <v>0</v>
      </c>
      <c r="H123" s="82">
        <f t="shared" si="50"/>
        <v>0</v>
      </c>
      <c r="I123" s="82">
        <f t="shared" si="50"/>
        <v>0</v>
      </c>
      <c r="J123" s="82">
        <f t="shared" si="50"/>
        <v>5990.1617100000003</v>
      </c>
      <c r="K123" s="82">
        <f t="shared" si="50"/>
        <v>6469.9662599999992</v>
      </c>
      <c r="L123" s="82">
        <f t="shared" si="50"/>
        <v>6469.9662599999992</v>
      </c>
      <c r="M123" s="82">
        <f t="shared" si="50"/>
        <v>0</v>
      </c>
      <c r="N123" s="82">
        <f t="shared" si="50"/>
        <v>0</v>
      </c>
      <c r="O123" s="82">
        <f t="shared" si="50"/>
        <v>571019.61191999994</v>
      </c>
      <c r="P123" s="82">
        <f t="shared" si="50"/>
        <v>0</v>
      </c>
      <c r="Q123" s="131">
        <f t="shared" si="49"/>
        <v>0.011203606964459106</v>
      </c>
      <c r="R123" s="131"/>
      <c r="S123" s="132"/>
    </row>
    <row r="124" ht="68.25" customHeight="1">
      <c r="A124" s="101"/>
      <c r="B124" s="86" t="s">
        <v>226</v>
      </c>
      <c r="C124" s="117" t="s">
        <v>227</v>
      </c>
      <c r="D124" s="114" t="s">
        <v>36</v>
      </c>
      <c r="E124" s="89">
        <f t="shared" ref="E124:E130" si="51">F124+G124+H124</f>
        <v>9.5</v>
      </c>
      <c r="F124" s="89">
        <v>9.5</v>
      </c>
      <c r="G124" s="115"/>
      <c r="H124" s="89"/>
      <c r="I124" s="89"/>
      <c r="J124" s="90"/>
      <c r="K124" s="89">
        <f t="shared" ref="K124:K130" si="52">L124+M124+N124</f>
        <v>0</v>
      </c>
      <c r="L124" s="89"/>
      <c r="M124" s="115"/>
      <c r="N124" s="115"/>
      <c r="O124" s="89">
        <f t="shared" ref="O124:O130" si="53">F124-L124</f>
        <v>9.5</v>
      </c>
      <c r="P124" s="89">
        <f t="shared" ref="P124:P130" si="54">H124-N124</f>
        <v>0</v>
      </c>
      <c r="Q124" s="91">
        <f t="shared" si="49"/>
        <v>0</v>
      </c>
      <c r="R124" s="91"/>
      <c r="S124" s="92" t="s">
        <v>228</v>
      </c>
    </row>
    <row r="125" ht="67.5" customHeight="1">
      <c r="A125" s="129" t="s">
        <v>229</v>
      </c>
      <c r="B125" s="86" t="s">
        <v>230</v>
      </c>
      <c r="C125" s="117" t="s">
        <v>231</v>
      </c>
      <c r="D125" s="114" t="s">
        <v>36</v>
      </c>
      <c r="E125" s="89">
        <f t="shared" si="51"/>
        <v>245460.39999999999</v>
      </c>
      <c r="F125" s="89">
        <v>245460.39999999999</v>
      </c>
      <c r="G125" s="115"/>
      <c r="H125" s="89"/>
      <c r="I125" s="89"/>
      <c r="J125" s="90"/>
      <c r="K125" s="89">
        <f t="shared" si="52"/>
        <v>0</v>
      </c>
      <c r="L125" s="89"/>
      <c r="M125" s="115"/>
      <c r="N125" s="115"/>
      <c r="O125" s="89">
        <f t="shared" si="53"/>
        <v>245460.39999999999</v>
      </c>
      <c r="P125" s="89">
        <f t="shared" si="54"/>
        <v>0</v>
      </c>
      <c r="Q125" s="91">
        <f t="shared" si="49"/>
        <v>0</v>
      </c>
      <c r="R125" s="91"/>
      <c r="S125" s="92" t="s">
        <v>232</v>
      </c>
    </row>
    <row r="126" ht="42.75" customHeight="1">
      <c r="A126" s="101"/>
      <c r="B126" s="86" t="s">
        <v>233</v>
      </c>
      <c r="C126" s="117" t="s">
        <v>234</v>
      </c>
      <c r="D126" s="114" t="s">
        <v>36</v>
      </c>
      <c r="E126" s="89">
        <f t="shared" si="51"/>
        <v>69678.144159999996</v>
      </c>
      <c r="F126" s="89">
        <f>68144.7+1533.44416</f>
        <v>69678.144159999996</v>
      </c>
      <c r="G126" s="115"/>
      <c r="H126" s="89"/>
      <c r="I126" s="89"/>
      <c r="J126" s="90"/>
      <c r="K126" s="89">
        <f t="shared" si="52"/>
        <v>0</v>
      </c>
      <c r="L126" s="89"/>
      <c r="M126" s="115"/>
      <c r="N126" s="115"/>
      <c r="O126" s="89">
        <f t="shared" si="53"/>
        <v>69678.144159999996</v>
      </c>
      <c r="P126" s="89">
        <f t="shared" si="54"/>
        <v>0</v>
      </c>
      <c r="Q126" s="91">
        <f t="shared" si="49"/>
        <v>0</v>
      </c>
      <c r="R126" s="91"/>
      <c r="S126" s="92" t="s">
        <v>235</v>
      </c>
    </row>
    <row r="127" ht="42.75" customHeight="1">
      <c r="A127" s="129" t="s">
        <v>236</v>
      </c>
      <c r="B127" s="86" t="s">
        <v>237</v>
      </c>
      <c r="C127" s="117" t="s">
        <v>238</v>
      </c>
      <c r="D127" s="114" t="s">
        <v>36</v>
      </c>
      <c r="E127" s="89">
        <f t="shared" si="51"/>
        <v>225507.20000000001</v>
      </c>
      <c r="F127" s="89">
        <v>225507.20000000001</v>
      </c>
      <c r="G127" s="115"/>
      <c r="H127" s="89"/>
      <c r="I127" s="89"/>
      <c r="J127" s="90"/>
      <c r="K127" s="89">
        <f t="shared" si="52"/>
        <v>0</v>
      </c>
      <c r="L127" s="89"/>
      <c r="M127" s="115"/>
      <c r="N127" s="115"/>
      <c r="O127" s="89">
        <f t="shared" si="53"/>
        <v>225507.20000000001</v>
      </c>
      <c r="P127" s="89">
        <f t="shared" si="54"/>
        <v>0</v>
      </c>
      <c r="Q127" s="91">
        <f t="shared" si="49"/>
        <v>0</v>
      </c>
      <c r="R127" s="91"/>
      <c r="S127" s="92" t="s">
        <v>239</v>
      </c>
    </row>
    <row r="128" ht="48" customHeight="1">
      <c r="A128" s="129" t="s">
        <v>240</v>
      </c>
      <c r="B128" s="86" t="s">
        <v>241</v>
      </c>
      <c r="C128" s="117" t="s">
        <v>242</v>
      </c>
      <c r="D128" s="114" t="s">
        <v>36</v>
      </c>
      <c r="E128" s="89">
        <f t="shared" si="51"/>
        <v>6777</v>
      </c>
      <c r="F128" s="89">
        <v>6777</v>
      </c>
      <c r="G128" s="115"/>
      <c r="H128" s="89"/>
      <c r="I128" s="89"/>
      <c r="J128" s="90">
        <v>5990.1617100000003</v>
      </c>
      <c r="K128" s="89">
        <f t="shared" si="52"/>
        <v>5990.1617099999994</v>
      </c>
      <c r="L128" s="89">
        <f>4803.51067+1186.65104</f>
        <v>5990.1617099999994</v>
      </c>
      <c r="M128" s="115"/>
      <c r="N128" s="115"/>
      <c r="O128" s="89">
        <f t="shared" si="53"/>
        <v>786.8382900000006</v>
      </c>
      <c r="P128" s="89">
        <f t="shared" si="54"/>
        <v>0</v>
      </c>
      <c r="Q128" s="91">
        <f t="shared" si="49"/>
        <v>0.88389578131916768</v>
      </c>
      <c r="R128" s="91"/>
      <c r="S128" s="92" t="s">
        <v>243</v>
      </c>
    </row>
    <row r="129" ht="44.25" customHeight="1">
      <c r="A129" s="129" t="s">
        <v>244</v>
      </c>
      <c r="B129" s="86" t="s">
        <v>245</v>
      </c>
      <c r="C129" s="117"/>
      <c r="D129" s="114" t="s">
        <v>36</v>
      </c>
      <c r="E129" s="89">
        <f t="shared" si="51"/>
        <v>20479.599999999999</v>
      </c>
      <c r="F129" s="89">
        <v>20479.599999999999</v>
      </c>
      <c r="G129" s="115"/>
      <c r="H129" s="89"/>
      <c r="I129" s="89"/>
      <c r="J129" s="90"/>
      <c r="K129" s="89">
        <f t="shared" si="52"/>
        <v>479.80455000000001</v>
      </c>
      <c r="L129" s="89">
        <f>479.80455</f>
        <v>479.80455000000001</v>
      </c>
      <c r="M129" s="115"/>
      <c r="N129" s="115"/>
      <c r="O129" s="89">
        <f t="shared" si="53"/>
        <v>19999.795449999998</v>
      </c>
      <c r="P129" s="89">
        <f t="shared" si="54"/>
        <v>0</v>
      </c>
      <c r="Q129" s="91">
        <f t="shared" si="49"/>
        <v>0.023428414129182212</v>
      </c>
      <c r="R129" s="91"/>
      <c r="S129" s="92" t="s">
        <v>246</v>
      </c>
    </row>
    <row r="130" ht="46.5" customHeight="1">
      <c r="A130" s="129" t="s">
        <v>247</v>
      </c>
      <c r="B130" s="86" t="s">
        <v>248</v>
      </c>
      <c r="C130" s="117" t="s">
        <v>249</v>
      </c>
      <c r="D130" s="114" t="s">
        <v>36</v>
      </c>
      <c r="E130" s="89">
        <f t="shared" si="51"/>
        <v>9577.7340199999999</v>
      </c>
      <c r="F130" s="89">
        <f>675.2+8902.53402</f>
        <v>9577.7340199999999</v>
      </c>
      <c r="G130" s="115"/>
      <c r="H130" s="89"/>
      <c r="I130" s="89"/>
      <c r="J130" s="90"/>
      <c r="K130" s="89">
        <f t="shared" si="52"/>
        <v>0</v>
      </c>
      <c r="L130" s="89"/>
      <c r="M130" s="115"/>
      <c r="N130" s="115"/>
      <c r="O130" s="89">
        <f t="shared" si="53"/>
        <v>9577.7340199999999</v>
      </c>
      <c r="P130" s="89">
        <f t="shared" si="54"/>
        <v>0</v>
      </c>
      <c r="Q130" s="91">
        <f t="shared" si="49"/>
        <v>0</v>
      </c>
      <c r="R130" s="91"/>
      <c r="S130" s="92" t="s">
        <v>250</v>
      </c>
    </row>
    <row r="131" ht="22.5" customHeight="1">
      <c r="A131" s="102"/>
      <c r="B131" s="102" t="s">
        <v>251</v>
      </c>
      <c r="C131" s="103"/>
      <c r="D131" s="102"/>
      <c r="E131" s="70"/>
      <c r="F131" s="104"/>
      <c r="G131" s="104"/>
      <c r="H131" s="104"/>
      <c r="I131" s="104"/>
      <c r="J131" s="104"/>
      <c r="K131" s="104"/>
      <c r="L131" s="104"/>
      <c r="M131" s="104"/>
      <c r="N131" s="104"/>
      <c r="O131" s="104"/>
      <c r="P131" s="104"/>
      <c r="Q131" s="106"/>
      <c r="R131" s="106"/>
      <c r="S131" s="107"/>
    </row>
    <row r="132" ht="53.25" customHeight="1">
      <c r="A132" s="74"/>
      <c r="B132" s="74" t="s">
        <v>252</v>
      </c>
      <c r="C132" s="108"/>
      <c r="D132" s="76"/>
      <c r="E132" s="76">
        <f t="shared" ref="E132:P132" si="55">E133+E136</f>
        <v>424240.69999999995</v>
      </c>
      <c r="F132" s="76">
        <f t="shared" si="55"/>
        <v>417840.69999999995</v>
      </c>
      <c r="G132" s="76">
        <f t="shared" si="55"/>
        <v>6400</v>
      </c>
      <c r="H132" s="76">
        <f t="shared" si="55"/>
        <v>0</v>
      </c>
      <c r="I132" s="76">
        <f t="shared" si="55"/>
        <v>0</v>
      </c>
      <c r="J132" s="76">
        <f t="shared" si="55"/>
        <v>74960.439400000003</v>
      </c>
      <c r="K132" s="76">
        <f t="shared" si="55"/>
        <v>57394.185119999995</v>
      </c>
      <c r="L132" s="76">
        <f t="shared" si="55"/>
        <v>56385.68931999999</v>
      </c>
      <c r="M132" s="76">
        <f t="shared" si="55"/>
        <v>1008.4958</v>
      </c>
      <c r="N132" s="76">
        <f t="shared" si="55"/>
        <v>0</v>
      </c>
      <c r="O132" s="76">
        <f t="shared" si="55"/>
        <v>361455.01068000006</v>
      </c>
      <c r="P132" s="76">
        <f t="shared" si="55"/>
        <v>0</v>
      </c>
      <c r="Q132" s="109">
        <f t="shared" si="49"/>
        <v>0.13494542135316162</v>
      </c>
      <c r="R132" s="109"/>
      <c r="S132" s="133"/>
    </row>
    <row r="133" ht="25.5" customHeight="1">
      <c r="A133" s="79"/>
      <c r="B133" s="79" t="s">
        <v>253</v>
      </c>
      <c r="C133" s="134"/>
      <c r="D133" s="82"/>
      <c r="E133" s="82">
        <f>E134+E135</f>
        <v>183959.10000000001</v>
      </c>
      <c r="F133" s="82">
        <f t="shared" ref="F133:P133" si="56">F134+F135</f>
        <v>183959.10000000001</v>
      </c>
      <c r="G133" s="82">
        <f t="shared" si="56"/>
        <v>0</v>
      </c>
      <c r="H133" s="82">
        <f t="shared" si="56"/>
        <v>0</v>
      </c>
      <c r="I133" s="82">
        <f t="shared" si="56"/>
        <v>0</v>
      </c>
      <c r="J133" s="82">
        <f t="shared" si="56"/>
        <v>500</v>
      </c>
      <c r="K133" s="82">
        <f t="shared" si="56"/>
        <v>500</v>
      </c>
      <c r="L133" s="82">
        <f t="shared" si="56"/>
        <v>500</v>
      </c>
      <c r="M133" s="82">
        <f t="shared" si="56"/>
        <v>0</v>
      </c>
      <c r="N133" s="82">
        <f t="shared" si="56"/>
        <v>0</v>
      </c>
      <c r="O133" s="82">
        <f t="shared" si="56"/>
        <v>183459.10000000001</v>
      </c>
      <c r="P133" s="82">
        <f t="shared" si="56"/>
        <v>0</v>
      </c>
      <c r="Q133" s="83">
        <f t="shared" si="49"/>
        <v>0.0027179954674707582</v>
      </c>
      <c r="R133" s="83"/>
      <c r="S133" s="135"/>
    </row>
    <row r="134" ht="41.25" customHeight="1">
      <c r="A134" s="129" t="s">
        <v>254</v>
      </c>
      <c r="B134" s="86" t="s">
        <v>255</v>
      </c>
      <c r="C134" s="87" t="s">
        <v>110</v>
      </c>
      <c r="D134" s="136" t="s">
        <v>36</v>
      </c>
      <c r="E134" s="89">
        <f t="shared" ref="E134:E135" si="57">F134+G134+H134</f>
        <v>136139.10000000001</v>
      </c>
      <c r="F134" s="89">
        <v>136139.10000000001</v>
      </c>
      <c r="G134" s="90"/>
      <c r="H134" s="89"/>
      <c r="I134" s="89"/>
      <c r="J134" s="90"/>
      <c r="K134" s="89">
        <f t="shared" ref="K134:K135" si="58">L134+M134+N134</f>
        <v>0</v>
      </c>
      <c r="L134" s="89"/>
      <c r="M134" s="89"/>
      <c r="N134" s="89"/>
      <c r="O134" s="89">
        <f t="shared" ref="O134:O135" si="59">F134-L134</f>
        <v>136139.10000000001</v>
      </c>
      <c r="P134" s="89">
        <f t="shared" ref="P134:P135" si="60">H134-N134</f>
        <v>0</v>
      </c>
      <c r="Q134" s="91">
        <f t="shared" si="49"/>
        <v>0</v>
      </c>
      <c r="R134" s="91"/>
      <c r="S134" s="92" t="s">
        <v>256</v>
      </c>
    </row>
    <row r="135" ht="47.25" customHeight="1">
      <c r="A135" s="129" t="s">
        <v>257</v>
      </c>
      <c r="B135" s="86" t="s">
        <v>258</v>
      </c>
      <c r="C135" s="137">
        <v>300</v>
      </c>
      <c r="D135" s="136" t="s">
        <v>36</v>
      </c>
      <c r="E135" s="89">
        <f t="shared" si="57"/>
        <v>47820</v>
      </c>
      <c r="F135" s="89">
        <v>47820</v>
      </c>
      <c r="G135" s="90"/>
      <c r="H135" s="89"/>
      <c r="I135" s="89"/>
      <c r="J135" s="90">
        <v>500</v>
      </c>
      <c r="K135" s="89">
        <f t="shared" si="58"/>
        <v>500</v>
      </c>
      <c r="L135" s="89">
        <f>500</f>
        <v>500</v>
      </c>
      <c r="M135" s="89"/>
      <c r="N135" s="89"/>
      <c r="O135" s="89">
        <f t="shared" si="59"/>
        <v>47320</v>
      </c>
      <c r="P135" s="89">
        <f t="shared" si="60"/>
        <v>0</v>
      </c>
      <c r="Q135" s="91">
        <f t="shared" si="49"/>
        <v>0.010455876202425763</v>
      </c>
      <c r="R135" s="91"/>
      <c r="S135" s="92" t="s">
        <v>259</v>
      </c>
    </row>
    <row r="136" s="1" customFormat="1" ht="38.25" customHeight="1">
      <c r="A136" s="79"/>
      <c r="B136" s="79" t="s">
        <v>28</v>
      </c>
      <c r="C136" s="138"/>
      <c r="D136" s="139"/>
      <c r="E136" s="82">
        <f t="shared" ref="E136:P136" si="61">SUM(E137:E143)</f>
        <v>240281.59999999998</v>
      </c>
      <c r="F136" s="82">
        <f t="shared" si="61"/>
        <v>233881.59999999998</v>
      </c>
      <c r="G136" s="82">
        <f t="shared" si="61"/>
        <v>6400</v>
      </c>
      <c r="H136" s="82">
        <f t="shared" si="61"/>
        <v>0</v>
      </c>
      <c r="I136" s="82">
        <f t="shared" si="61"/>
        <v>0</v>
      </c>
      <c r="J136" s="82">
        <f t="shared" si="61"/>
        <v>74460.439400000003</v>
      </c>
      <c r="K136" s="82">
        <f t="shared" si="61"/>
        <v>56894.185119999995</v>
      </c>
      <c r="L136" s="82">
        <f t="shared" si="61"/>
        <v>55885.68931999999</v>
      </c>
      <c r="M136" s="82">
        <f t="shared" si="61"/>
        <v>1008.4958</v>
      </c>
      <c r="N136" s="82">
        <f t="shared" si="61"/>
        <v>0</v>
      </c>
      <c r="O136" s="82">
        <f t="shared" si="61"/>
        <v>177995.91068000003</v>
      </c>
      <c r="P136" s="82">
        <f t="shared" si="61"/>
        <v>0</v>
      </c>
      <c r="Q136" s="83">
        <f t="shared" si="49"/>
        <v>0.23894863606200742</v>
      </c>
      <c r="R136" s="83"/>
      <c r="S136" s="132"/>
    </row>
    <row r="137" s="1" customFormat="1" ht="42" customHeight="1">
      <c r="A137" s="129" t="s">
        <v>260</v>
      </c>
      <c r="B137" s="86" t="s">
        <v>261</v>
      </c>
      <c r="C137" s="140" t="s">
        <v>262</v>
      </c>
      <c r="D137" s="136" t="s">
        <v>49</v>
      </c>
      <c r="E137" s="89">
        <f t="shared" ref="E137:E143" si="62">F137+G137+H137</f>
        <v>126400</v>
      </c>
      <c r="F137" s="89">
        <v>120000</v>
      </c>
      <c r="G137" s="90">
        <v>6400</v>
      </c>
      <c r="H137" s="89"/>
      <c r="I137" s="89"/>
      <c r="J137" s="90">
        <f>13966.26838+9490.88172+1355.45377+4945.51414+4055.82264+10459.5</f>
        <v>44273.440649999997</v>
      </c>
      <c r="K137" s="89">
        <f t="shared" ref="K137:K143" si="63">L137+M137+N137</f>
        <v>24737.803799999998</v>
      </c>
      <c r="L137" s="89">
        <f>13396.9+10332.408</f>
        <v>23729.307999999997</v>
      </c>
      <c r="M137" s="89">
        <v>1008.4958</v>
      </c>
      <c r="N137" s="89"/>
      <c r="O137" s="89">
        <f t="shared" ref="O137:O143" si="64">F137-L137</f>
        <v>96270.69200000001</v>
      </c>
      <c r="P137" s="89">
        <f t="shared" ref="P137:P143" si="65">H137-N137</f>
        <v>0</v>
      </c>
      <c r="Q137" s="91">
        <f t="shared" si="49"/>
        <v>0.1977442333333333</v>
      </c>
      <c r="R137" s="91"/>
      <c r="S137" s="92" t="s">
        <v>59</v>
      </c>
    </row>
    <row r="138" s="1" customFormat="1" ht="84.75" customHeight="1">
      <c r="A138" s="129" t="s">
        <v>263</v>
      </c>
      <c r="B138" s="86" t="s">
        <v>264</v>
      </c>
      <c r="C138" s="96">
        <v>180</v>
      </c>
      <c r="D138" s="136" t="s">
        <v>36</v>
      </c>
      <c r="E138" s="89">
        <f t="shared" si="62"/>
        <v>19156.299999999999</v>
      </c>
      <c r="F138" s="89">
        <v>19156.299999999999</v>
      </c>
      <c r="G138" s="90"/>
      <c r="H138" s="89"/>
      <c r="I138" s="89"/>
      <c r="J138" s="90"/>
      <c r="K138" s="89">
        <f t="shared" si="63"/>
        <v>0</v>
      </c>
      <c r="L138" s="89"/>
      <c r="M138" s="89"/>
      <c r="N138" s="89"/>
      <c r="O138" s="89">
        <f t="shared" si="64"/>
        <v>19156.299999999999</v>
      </c>
      <c r="P138" s="89">
        <f t="shared" si="65"/>
        <v>0</v>
      </c>
      <c r="Q138" s="91">
        <f t="shared" si="49"/>
        <v>0</v>
      </c>
      <c r="R138" s="91"/>
      <c r="S138" s="92" t="s">
        <v>265</v>
      </c>
    </row>
    <row r="139" s="1" customFormat="1" ht="42" customHeight="1">
      <c r="A139" s="129" t="s">
        <v>266</v>
      </c>
      <c r="B139" s="86" t="s">
        <v>267</v>
      </c>
      <c r="C139" s="96">
        <v>550</v>
      </c>
      <c r="D139" s="136" t="s">
        <v>36</v>
      </c>
      <c r="E139" s="89">
        <f t="shared" si="62"/>
        <v>8748.5</v>
      </c>
      <c r="F139" s="89">
        <v>8748.5</v>
      </c>
      <c r="G139" s="90"/>
      <c r="H139" s="89"/>
      <c r="I139" s="89"/>
      <c r="J139" s="90"/>
      <c r="K139" s="89">
        <f t="shared" si="63"/>
        <v>0</v>
      </c>
      <c r="L139" s="89"/>
      <c r="M139" s="89"/>
      <c r="N139" s="89"/>
      <c r="O139" s="89">
        <f t="shared" si="64"/>
        <v>8748.5</v>
      </c>
      <c r="P139" s="89">
        <f t="shared" si="65"/>
        <v>0</v>
      </c>
      <c r="Q139" s="91">
        <f t="shared" si="49"/>
        <v>0</v>
      </c>
      <c r="R139" s="91"/>
      <c r="S139" s="92" t="s">
        <v>246</v>
      </c>
    </row>
    <row r="140" s="1" customFormat="1" ht="54" customHeight="1">
      <c r="A140" s="129" t="s">
        <v>268</v>
      </c>
      <c r="B140" s="86" t="s">
        <v>269</v>
      </c>
      <c r="C140" s="96">
        <v>100</v>
      </c>
      <c r="D140" s="136" t="s">
        <v>36</v>
      </c>
      <c r="E140" s="89">
        <f t="shared" si="62"/>
        <v>124.3</v>
      </c>
      <c r="F140" s="89">
        <v>124.3</v>
      </c>
      <c r="G140" s="90"/>
      <c r="H140" s="89"/>
      <c r="I140" s="89"/>
      <c r="J140" s="90"/>
      <c r="K140" s="89">
        <f t="shared" si="63"/>
        <v>0</v>
      </c>
      <c r="L140" s="89"/>
      <c r="M140" s="89"/>
      <c r="N140" s="89"/>
      <c r="O140" s="89">
        <f t="shared" si="64"/>
        <v>124.3</v>
      </c>
      <c r="P140" s="89">
        <f t="shared" si="65"/>
        <v>0</v>
      </c>
      <c r="Q140" s="91">
        <f t="shared" si="49"/>
        <v>0</v>
      </c>
      <c r="R140" s="91"/>
      <c r="S140" s="92" t="s">
        <v>83</v>
      </c>
    </row>
    <row r="141" s="1" customFormat="1" ht="39" customHeight="1">
      <c r="A141" s="101"/>
      <c r="B141" s="86" t="s">
        <v>270</v>
      </c>
      <c r="C141" s="141">
        <v>830</v>
      </c>
      <c r="D141" s="136" t="s">
        <v>36</v>
      </c>
      <c r="E141" s="89">
        <f t="shared" si="62"/>
        <v>7.5999999999999996</v>
      </c>
      <c r="F141" s="89">
        <v>7.5999999999999996</v>
      </c>
      <c r="G141" s="90"/>
      <c r="H141" s="89"/>
      <c r="I141" s="89"/>
      <c r="J141" s="90"/>
      <c r="K141" s="89">
        <f t="shared" si="63"/>
        <v>0</v>
      </c>
      <c r="L141" s="89"/>
      <c r="M141" s="89"/>
      <c r="N141" s="89"/>
      <c r="O141" s="89">
        <f t="shared" si="64"/>
        <v>7.5999999999999996</v>
      </c>
      <c r="P141" s="89">
        <f t="shared" si="65"/>
        <v>0</v>
      </c>
      <c r="Q141" s="91">
        <f t="shared" si="49"/>
        <v>0</v>
      </c>
      <c r="R141" s="91"/>
      <c r="S141" s="92" t="s">
        <v>271</v>
      </c>
    </row>
    <row r="142" s="1" customFormat="1" ht="52.5" customHeight="1">
      <c r="A142" s="129" t="s">
        <v>272</v>
      </c>
      <c r="B142" s="86" t="s">
        <v>273</v>
      </c>
      <c r="C142" s="141">
        <v>300</v>
      </c>
      <c r="D142" s="136" t="s">
        <v>36</v>
      </c>
      <c r="E142" s="89">
        <f t="shared" si="62"/>
        <v>61738.699999999997</v>
      </c>
      <c r="F142" s="89">
        <v>61738.699999999997</v>
      </c>
      <c r="G142" s="90"/>
      <c r="H142" s="89"/>
      <c r="I142" s="89"/>
      <c r="J142" s="90">
        <v>30186.998749999999</v>
      </c>
      <c r="K142" s="89">
        <f t="shared" si="63"/>
        <v>31676.07992</v>
      </c>
      <c r="L142" s="89">
        <f>2998.4311+11776.26577+16901.38305</f>
        <v>31676.07992</v>
      </c>
      <c r="M142" s="89"/>
      <c r="N142" s="89"/>
      <c r="O142" s="89">
        <f t="shared" si="64"/>
        <v>30062.620079999997</v>
      </c>
      <c r="P142" s="89">
        <f t="shared" si="65"/>
        <v>0</v>
      </c>
      <c r="Q142" s="91">
        <f t="shared" si="49"/>
        <v>0.51306684332517527</v>
      </c>
      <c r="R142" s="91"/>
      <c r="S142" s="92" t="s">
        <v>274</v>
      </c>
    </row>
    <row r="143" s="1" customFormat="1" ht="40.5" customHeight="1">
      <c r="A143" s="129" t="s">
        <v>275</v>
      </c>
      <c r="B143" s="86" t="s">
        <v>276</v>
      </c>
      <c r="C143" s="141">
        <v>350</v>
      </c>
      <c r="D143" s="136" t="s">
        <v>36</v>
      </c>
      <c r="E143" s="89">
        <f t="shared" si="62"/>
        <v>24106.200000000001</v>
      </c>
      <c r="F143" s="89">
        <v>24106.200000000001</v>
      </c>
      <c r="G143" s="90"/>
      <c r="H143" s="89"/>
      <c r="I143" s="89"/>
      <c r="J143" s="90"/>
      <c r="K143" s="89">
        <f t="shared" si="63"/>
        <v>480.3014</v>
      </c>
      <c r="L143" s="89">
        <f>480.3014</f>
        <v>480.3014</v>
      </c>
      <c r="M143" s="89"/>
      <c r="N143" s="89"/>
      <c r="O143" s="89">
        <f t="shared" si="64"/>
        <v>23625.8986</v>
      </c>
      <c r="P143" s="89">
        <f t="shared" si="65"/>
        <v>0</v>
      </c>
      <c r="Q143" s="91">
        <f t="shared" si="49"/>
        <v>0.019924392894773959</v>
      </c>
      <c r="R143" s="91"/>
      <c r="S143" s="92" t="s">
        <v>274</v>
      </c>
    </row>
    <row r="144" ht="24.75" customHeight="1">
      <c r="A144" s="102"/>
      <c r="B144" s="102" t="s">
        <v>277</v>
      </c>
      <c r="C144" s="103"/>
      <c r="D144" s="102"/>
      <c r="E144" s="104"/>
      <c r="F144" s="104"/>
      <c r="G144" s="104"/>
      <c r="H144" s="104"/>
      <c r="I144" s="104"/>
      <c r="J144" s="104"/>
      <c r="K144" s="104"/>
      <c r="L144" s="104"/>
      <c r="M144" s="104"/>
      <c r="N144" s="142"/>
      <c r="O144" s="104"/>
      <c r="P144" s="104"/>
      <c r="Q144" s="106"/>
      <c r="R144" s="106"/>
      <c r="S144" s="107"/>
    </row>
    <row r="145" ht="66.75" customHeight="1">
      <c r="A145" s="74"/>
      <c r="B145" s="74" t="s">
        <v>278</v>
      </c>
      <c r="C145" s="108"/>
      <c r="D145" s="76"/>
      <c r="E145" s="76">
        <f t="shared" ref="E145:P145" si="66">E146+E150</f>
        <v>1367534.8806999999</v>
      </c>
      <c r="F145" s="76">
        <f t="shared" si="66"/>
        <v>1367534.8806999999</v>
      </c>
      <c r="G145" s="76">
        <f t="shared" si="66"/>
        <v>0</v>
      </c>
      <c r="H145" s="76">
        <f t="shared" si="66"/>
        <v>0</v>
      </c>
      <c r="I145" s="76">
        <f t="shared" si="66"/>
        <v>0</v>
      </c>
      <c r="J145" s="76">
        <f t="shared" si="66"/>
        <v>0</v>
      </c>
      <c r="K145" s="76">
        <f t="shared" si="66"/>
        <v>36964.822359999998</v>
      </c>
      <c r="L145" s="76">
        <f t="shared" si="66"/>
        <v>36964.822359999998</v>
      </c>
      <c r="M145" s="76">
        <f t="shared" si="66"/>
        <v>0</v>
      </c>
      <c r="N145" s="76">
        <f t="shared" si="66"/>
        <v>0</v>
      </c>
      <c r="O145" s="76">
        <f t="shared" si="66"/>
        <v>1330570.0583399998</v>
      </c>
      <c r="P145" s="76">
        <f t="shared" si="66"/>
        <v>0</v>
      </c>
      <c r="Q145" s="109">
        <f t="shared" si="49"/>
        <v>0.027030259250922228</v>
      </c>
      <c r="R145" s="109"/>
      <c r="S145" s="133"/>
    </row>
    <row r="146" s="1" customFormat="1" ht="25.5" customHeight="1">
      <c r="A146" s="79"/>
      <c r="B146" s="79" t="s">
        <v>32</v>
      </c>
      <c r="C146" s="134"/>
      <c r="D146" s="82"/>
      <c r="E146" s="82">
        <f t="shared" ref="E146:P146" si="67">SUM(E147:E149)</f>
        <v>1217376.1806999999</v>
      </c>
      <c r="F146" s="82">
        <f t="shared" si="67"/>
        <v>1217376.1806999999</v>
      </c>
      <c r="G146" s="82">
        <f t="shared" si="67"/>
        <v>0</v>
      </c>
      <c r="H146" s="82">
        <f t="shared" si="67"/>
        <v>0</v>
      </c>
      <c r="I146" s="82">
        <f t="shared" si="67"/>
        <v>0</v>
      </c>
      <c r="J146" s="82">
        <f t="shared" si="67"/>
        <v>0</v>
      </c>
      <c r="K146" s="82">
        <f t="shared" si="67"/>
        <v>30484.632440000001</v>
      </c>
      <c r="L146" s="82">
        <f t="shared" si="67"/>
        <v>30484.632440000001</v>
      </c>
      <c r="M146" s="82">
        <f t="shared" si="67"/>
        <v>0</v>
      </c>
      <c r="N146" s="82">
        <f t="shared" si="67"/>
        <v>0</v>
      </c>
      <c r="O146" s="82">
        <f t="shared" si="67"/>
        <v>1186891.5482599998</v>
      </c>
      <c r="P146" s="82">
        <f t="shared" si="67"/>
        <v>0</v>
      </c>
      <c r="Q146" s="83">
        <f t="shared" si="49"/>
        <v>0.025041259163187439</v>
      </c>
      <c r="R146" s="83"/>
      <c r="S146" s="135"/>
    </row>
    <row r="147" s="1" customFormat="1" ht="48.75" customHeight="1">
      <c r="A147" s="129"/>
      <c r="B147" s="86" t="s">
        <v>279</v>
      </c>
      <c r="C147" s="143" t="s">
        <v>280</v>
      </c>
      <c r="D147" s="88" t="s">
        <v>281</v>
      </c>
      <c r="E147" s="89">
        <f t="shared" ref="E147:E149" si="68">F147+G147+H147</f>
        <v>741379.69999999995</v>
      </c>
      <c r="F147" s="89">
        <v>741379.69999999995</v>
      </c>
      <c r="G147" s="89"/>
      <c r="H147" s="89"/>
      <c r="I147" s="90"/>
      <c r="J147" s="90"/>
      <c r="K147" s="89">
        <f t="shared" ref="K147:K149" si="69">L147+M147+N147</f>
        <v>0</v>
      </c>
      <c r="L147" s="90"/>
      <c r="M147" s="89"/>
      <c r="N147" s="89"/>
      <c r="O147" s="89">
        <f t="shared" ref="O147:O149" si="70">F147-L147</f>
        <v>741379.69999999995</v>
      </c>
      <c r="P147" s="89">
        <f t="shared" ref="P147:P149" si="71">H147-N147</f>
        <v>0</v>
      </c>
      <c r="Q147" s="91">
        <f t="shared" si="49"/>
        <v>0</v>
      </c>
      <c r="R147" s="91"/>
      <c r="S147" s="92" t="s">
        <v>282</v>
      </c>
    </row>
    <row r="148" s="1" customFormat="1" ht="43.5" customHeight="1">
      <c r="A148" s="129" t="s">
        <v>283</v>
      </c>
      <c r="B148" s="86" t="s">
        <v>284</v>
      </c>
      <c r="C148" s="113"/>
      <c r="D148" s="88" t="s">
        <v>36</v>
      </c>
      <c r="E148" s="89">
        <f t="shared" si="68"/>
        <v>237078.79999999999</v>
      </c>
      <c r="F148" s="89">
        <v>237078.79999999999</v>
      </c>
      <c r="G148" s="89"/>
      <c r="H148" s="89"/>
      <c r="I148" s="89"/>
      <c r="J148" s="90"/>
      <c r="K148" s="89">
        <f t="shared" si="69"/>
        <v>67.944360000000003</v>
      </c>
      <c r="L148" s="90">
        <f>67.94436</f>
        <v>67.944360000000003</v>
      </c>
      <c r="M148" s="89"/>
      <c r="N148" s="89"/>
      <c r="O148" s="89">
        <f t="shared" si="70"/>
        <v>237010.85563999999</v>
      </c>
      <c r="P148" s="89">
        <f t="shared" si="71"/>
        <v>0</v>
      </c>
      <c r="Q148" s="91">
        <f t="shared" si="49"/>
        <v>0.00028658977521397951</v>
      </c>
      <c r="R148" s="91"/>
      <c r="S148" s="92" t="s">
        <v>285</v>
      </c>
    </row>
    <row r="149" s="1" customFormat="1" ht="51.75" customHeight="1">
      <c r="A149" s="129" t="s">
        <v>286</v>
      </c>
      <c r="B149" s="86" t="s">
        <v>287</v>
      </c>
      <c r="C149" s="144" t="s">
        <v>288</v>
      </c>
      <c r="D149" s="88" t="s">
        <v>36</v>
      </c>
      <c r="E149" s="89">
        <f t="shared" si="68"/>
        <v>238917.6807</v>
      </c>
      <c r="F149" s="89">
        <f>207815+31102.6807</f>
        <v>238917.6807</v>
      </c>
      <c r="G149" s="89"/>
      <c r="H149" s="89"/>
      <c r="I149" s="95"/>
      <c r="J149" s="90"/>
      <c r="K149" s="89">
        <f t="shared" si="69"/>
        <v>30416.68808</v>
      </c>
      <c r="L149" s="90">
        <f>30416.68808</f>
        <v>30416.68808</v>
      </c>
      <c r="M149" s="89"/>
      <c r="N149" s="89"/>
      <c r="O149" s="89">
        <f t="shared" si="70"/>
        <v>208500.99262</v>
      </c>
      <c r="P149" s="89">
        <f t="shared" si="71"/>
        <v>0</v>
      </c>
      <c r="Q149" s="91">
        <f t="shared" si="49"/>
        <v>0.12731032710045892</v>
      </c>
      <c r="R149" s="91"/>
      <c r="S149" s="92" t="s">
        <v>289</v>
      </c>
    </row>
    <row r="150" s="55" customFormat="1" ht="37.5" customHeight="1">
      <c r="A150" s="79"/>
      <c r="B150" s="79" t="s">
        <v>28</v>
      </c>
      <c r="C150" s="134"/>
      <c r="D150" s="82"/>
      <c r="E150" s="82">
        <f t="shared" ref="E150:P150" si="72">SUM(E151:E154)</f>
        <v>150158.70000000001</v>
      </c>
      <c r="F150" s="82">
        <f t="shared" si="72"/>
        <v>150158.70000000001</v>
      </c>
      <c r="G150" s="82">
        <f t="shared" si="72"/>
        <v>0</v>
      </c>
      <c r="H150" s="82">
        <f t="shared" si="72"/>
        <v>0</v>
      </c>
      <c r="I150" s="82">
        <f t="shared" si="72"/>
        <v>0</v>
      </c>
      <c r="J150" s="82">
        <f t="shared" si="72"/>
        <v>0</v>
      </c>
      <c r="K150" s="82">
        <f t="shared" si="72"/>
        <v>6480.1899199999998</v>
      </c>
      <c r="L150" s="82">
        <f t="shared" si="72"/>
        <v>6480.1899199999998</v>
      </c>
      <c r="M150" s="82">
        <f t="shared" si="72"/>
        <v>0</v>
      </c>
      <c r="N150" s="82">
        <f t="shared" si="72"/>
        <v>0</v>
      </c>
      <c r="O150" s="82">
        <f t="shared" si="72"/>
        <v>143678.51008000001</v>
      </c>
      <c r="P150" s="82">
        <f t="shared" si="72"/>
        <v>0</v>
      </c>
      <c r="Q150" s="83">
        <f t="shared" si="49"/>
        <v>0.043155607500597694</v>
      </c>
      <c r="R150" s="83"/>
      <c r="S150" s="132"/>
    </row>
    <row r="151" s="1" customFormat="1" ht="65.25" customHeight="1">
      <c r="A151" s="27"/>
      <c r="B151" s="86" t="s">
        <v>290</v>
      </c>
      <c r="C151" s="145" t="s">
        <v>291</v>
      </c>
      <c r="D151" s="88" t="s">
        <v>36</v>
      </c>
      <c r="E151" s="89">
        <f t="shared" ref="E151:E154" si="73">F151+G151+H151</f>
        <v>100197.00000000001</v>
      </c>
      <c r="F151" s="89">
        <v>100197.00000000001</v>
      </c>
      <c r="G151" s="89"/>
      <c r="H151" s="89"/>
      <c r="I151" s="89"/>
      <c r="J151" s="90"/>
      <c r="K151" s="89">
        <f t="shared" ref="K151:K154" si="74">L151+M151+N151</f>
        <v>0</v>
      </c>
      <c r="L151" s="90"/>
      <c r="M151" s="89"/>
      <c r="N151" s="89"/>
      <c r="O151" s="89">
        <f t="shared" ref="O151:O154" si="75">F151-L151</f>
        <v>100197.00000000001</v>
      </c>
      <c r="P151" s="89">
        <f t="shared" ref="P151:P154" si="76">H151-N151</f>
        <v>0</v>
      </c>
      <c r="Q151" s="91">
        <f t="shared" si="49"/>
        <v>0</v>
      </c>
      <c r="R151" s="91"/>
      <c r="S151" s="92" t="s">
        <v>292</v>
      </c>
    </row>
    <row r="152" s="1" customFormat="1" ht="42" customHeight="1">
      <c r="A152" s="129" t="s">
        <v>293</v>
      </c>
      <c r="B152" s="86" t="s">
        <v>294</v>
      </c>
      <c r="C152" s="25"/>
      <c r="D152" s="88" t="s">
        <v>36</v>
      </c>
      <c r="E152" s="89">
        <f t="shared" si="73"/>
        <v>17665.5</v>
      </c>
      <c r="F152" s="89">
        <v>17665.5</v>
      </c>
      <c r="G152" s="89"/>
      <c r="H152" s="89"/>
      <c r="I152" s="89"/>
      <c r="J152" s="90"/>
      <c r="K152" s="89">
        <f t="shared" si="74"/>
        <v>0</v>
      </c>
      <c r="L152" s="90"/>
      <c r="M152" s="89"/>
      <c r="N152" s="89"/>
      <c r="O152" s="89">
        <f t="shared" si="75"/>
        <v>17665.5</v>
      </c>
      <c r="P152" s="89">
        <f t="shared" si="76"/>
        <v>0</v>
      </c>
      <c r="Q152" s="91">
        <f t="shared" si="49"/>
        <v>0</v>
      </c>
      <c r="R152" s="91"/>
      <c r="S152" s="92"/>
    </row>
    <row r="153" s="1" customFormat="1" ht="42.75" customHeight="1">
      <c r="A153" s="129" t="s">
        <v>295</v>
      </c>
      <c r="B153" s="86" t="s">
        <v>296</v>
      </c>
      <c r="C153" s="25"/>
      <c r="D153" s="88" t="s">
        <v>36</v>
      </c>
      <c r="E153" s="89">
        <f t="shared" si="73"/>
        <v>17296.200000000001</v>
      </c>
      <c r="F153" s="89">
        <v>17296.200000000001</v>
      </c>
      <c r="G153" s="89"/>
      <c r="H153" s="89"/>
      <c r="I153" s="89"/>
      <c r="J153" s="90"/>
      <c r="K153" s="89">
        <f t="shared" si="74"/>
        <v>6480.1899199999998</v>
      </c>
      <c r="L153" s="90">
        <f>6138.20666+341.98326</f>
        <v>6480.1899199999998</v>
      </c>
      <c r="M153" s="89"/>
      <c r="N153" s="89"/>
      <c r="O153" s="89">
        <f t="shared" si="75"/>
        <v>10816.01008</v>
      </c>
      <c r="P153" s="89">
        <f t="shared" si="76"/>
        <v>0</v>
      </c>
      <c r="Q153" s="91">
        <f t="shared" si="49"/>
        <v>0.37465974722771472</v>
      </c>
      <c r="R153" s="91"/>
      <c r="S153" s="92"/>
    </row>
    <row r="154" s="1" customFormat="1" ht="55.5" customHeight="1">
      <c r="A154" s="129"/>
      <c r="B154" s="86" t="s">
        <v>297</v>
      </c>
      <c r="C154" s="25"/>
      <c r="D154" s="88" t="s">
        <v>36</v>
      </c>
      <c r="E154" s="89">
        <f t="shared" si="73"/>
        <v>15000</v>
      </c>
      <c r="F154" s="89">
        <v>15000</v>
      </c>
      <c r="G154" s="89"/>
      <c r="H154" s="89"/>
      <c r="I154" s="89"/>
      <c r="J154" s="90"/>
      <c r="K154" s="89">
        <f t="shared" si="74"/>
        <v>0</v>
      </c>
      <c r="L154" s="90"/>
      <c r="M154" s="89"/>
      <c r="N154" s="89"/>
      <c r="O154" s="89">
        <f t="shared" si="75"/>
        <v>15000</v>
      </c>
      <c r="P154" s="89">
        <f t="shared" si="76"/>
        <v>0</v>
      </c>
      <c r="Q154" s="91">
        <f t="shared" si="49"/>
        <v>0</v>
      </c>
      <c r="R154" s="91"/>
      <c r="S154" s="92"/>
    </row>
    <row r="155" ht="23.25" customHeight="1">
      <c r="A155" s="102"/>
      <c r="B155" s="102" t="s">
        <v>298</v>
      </c>
      <c r="C155" s="103"/>
      <c r="D155" s="102"/>
      <c r="E155" s="70"/>
      <c r="F155" s="104"/>
      <c r="G155" s="104"/>
      <c r="H155" s="104"/>
      <c r="I155" s="104"/>
      <c r="J155" s="104"/>
      <c r="K155" s="104"/>
      <c r="L155" s="104"/>
      <c r="M155" s="104"/>
      <c r="N155" s="104"/>
      <c r="O155" s="104"/>
      <c r="P155" s="104"/>
      <c r="Q155" s="146"/>
      <c r="R155" s="146"/>
      <c r="S155" s="147"/>
    </row>
    <row r="156" s="148" customFormat="1" ht="85.5" customHeight="1">
      <c r="A156" s="149"/>
      <c r="B156" s="149" t="s">
        <v>299</v>
      </c>
      <c r="C156" s="150"/>
      <c r="D156" s="151"/>
      <c r="E156" s="152">
        <f>E157+E158</f>
        <v>1909.2</v>
      </c>
      <c r="F156" s="152">
        <f t="shared" ref="F156:P156" si="77">F157+F158</f>
        <v>1909.2</v>
      </c>
      <c r="G156" s="152">
        <f t="shared" si="77"/>
        <v>0</v>
      </c>
      <c r="H156" s="152">
        <f t="shared" si="77"/>
        <v>0</v>
      </c>
      <c r="I156" s="152">
        <f t="shared" si="77"/>
        <v>0</v>
      </c>
      <c r="J156" s="152">
        <f t="shared" si="77"/>
        <v>0</v>
      </c>
      <c r="K156" s="152">
        <f t="shared" si="77"/>
        <v>0</v>
      </c>
      <c r="L156" s="152">
        <f t="shared" si="77"/>
        <v>0</v>
      </c>
      <c r="M156" s="152">
        <f t="shared" si="77"/>
        <v>0</v>
      </c>
      <c r="N156" s="152">
        <f t="shared" si="77"/>
        <v>0</v>
      </c>
      <c r="O156" s="152">
        <f t="shared" si="77"/>
        <v>1909.2</v>
      </c>
      <c r="P156" s="152">
        <f t="shared" si="77"/>
        <v>0</v>
      </c>
      <c r="Q156" s="109">
        <f t="shared" si="49"/>
        <v>0</v>
      </c>
      <c r="R156" s="109"/>
      <c r="S156" s="133"/>
    </row>
    <row r="157" s="148" customFormat="1" ht="50.25" customHeight="1">
      <c r="A157" s="129" t="s">
        <v>300</v>
      </c>
      <c r="B157" s="153" t="s">
        <v>301</v>
      </c>
      <c r="C157" s="154" t="s">
        <v>302</v>
      </c>
      <c r="D157" s="155" t="s">
        <v>36</v>
      </c>
      <c r="E157" s="156">
        <f t="shared" ref="E157:E158" si="78">F157+G157+H157</f>
        <v>1909.2</v>
      </c>
      <c r="F157" s="156">
        <v>1909.2</v>
      </c>
      <c r="G157" s="157"/>
      <c r="H157" s="157"/>
      <c r="I157" s="157"/>
      <c r="J157" s="158"/>
      <c r="K157" s="157">
        <f t="shared" ref="K157:K158" si="79">L157+M157+N157</f>
        <v>0</v>
      </c>
      <c r="L157" s="157"/>
      <c r="M157" s="157"/>
      <c r="N157" s="157"/>
      <c r="O157" s="89">
        <f t="shared" ref="O157:O158" si="80">F157-L157</f>
        <v>1909.2</v>
      </c>
      <c r="P157" s="89">
        <f t="shared" ref="P157:P158" si="81">H157-N157</f>
        <v>0</v>
      </c>
      <c r="Q157" s="91">
        <f t="shared" si="49"/>
        <v>0</v>
      </c>
      <c r="R157" s="91"/>
      <c r="S157" s="92" t="s">
        <v>303</v>
      </c>
    </row>
    <row r="158" s="148" customFormat="1" ht="54" hidden="1" customHeight="1">
      <c r="A158" s="101"/>
      <c r="B158" s="153" t="s">
        <v>304</v>
      </c>
      <c r="C158" s="154"/>
      <c r="D158" s="155" t="s">
        <v>36</v>
      </c>
      <c r="E158" s="156">
        <f t="shared" si="78"/>
        <v>0</v>
      </c>
      <c r="F158" s="156">
        <f>95-95</f>
        <v>0</v>
      </c>
      <c r="G158" s="157"/>
      <c r="H158" s="157"/>
      <c r="I158" s="157"/>
      <c r="J158" s="158"/>
      <c r="K158" s="157">
        <f t="shared" si="79"/>
        <v>0</v>
      </c>
      <c r="L158" s="157"/>
      <c r="M158" s="157"/>
      <c r="N158" s="157"/>
      <c r="O158" s="89">
        <f t="shared" si="80"/>
        <v>0</v>
      </c>
      <c r="P158" s="89">
        <f t="shared" si="81"/>
        <v>0</v>
      </c>
      <c r="Q158" s="91" t="e">
        <f t="shared" si="49"/>
        <v>#DIV/0!</v>
      </c>
      <c r="R158" s="91"/>
      <c r="S158" s="92"/>
    </row>
    <row r="159" s="148" customFormat="1" ht="56.25" customHeight="1">
      <c r="A159" s="149"/>
      <c r="B159" s="149" t="s">
        <v>305</v>
      </c>
      <c r="C159" s="150"/>
      <c r="D159" s="151"/>
      <c r="E159" s="152">
        <f>E160+E161+E162</f>
        <v>118182.79999999999</v>
      </c>
      <c r="F159" s="152">
        <f t="shared" ref="F159:P163" si="82">F160+F161+F162</f>
        <v>118182.79999999999</v>
      </c>
      <c r="G159" s="152">
        <f t="shared" si="82"/>
        <v>0</v>
      </c>
      <c r="H159" s="152">
        <f t="shared" si="82"/>
        <v>0</v>
      </c>
      <c r="I159" s="152">
        <f t="shared" si="82"/>
        <v>0</v>
      </c>
      <c r="J159" s="152">
        <f t="shared" si="82"/>
        <v>2598.7887099999998</v>
      </c>
      <c r="K159" s="152">
        <f t="shared" si="82"/>
        <v>8034.3028999999997</v>
      </c>
      <c r="L159" s="152">
        <f t="shared" si="82"/>
        <v>8034.3028999999997</v>
      </c>
      <c r="M159" s="152">
        <f t="shared" si="82"/>
        <v>0</v>
      </c>
      <c r="N159" s="152">
        <f t="shared" si="82"/>
        <v>0</v>
      </c>
      <c r="O159" s="152">
        <f t="shared" si="82"/>
        <v>110148.49710000001</v>
      </c>
      <c r="P159" s="152">
        <f t="shared" si="82"/>
        <v>0</v>
      </c>
      <c r="Q159" s="109">
        <f t="shared" si="49"/>
        <v>0.06798199822647627</v>
      </c>
      <c r="R159" s="109"/>
      <c r="S159" s="133"/>
    </row>
    <row r="160" s="148" customFormat="1" ht="43.5" customHeight="1">
      <c r="A160" s="101"/>
      <c r="B160" s="153" t="s">
        <v>306</v>
      </c>
      <c r="C160" s="154"/>
      <c r="D160" s="88" t="s">
        <v>36</v>
      </c>
      <c r="E160" s="157">
        <f t="shared" ref="E160:E162" si="83">F160+G160+H160</f>
        <v>60243.199999999997</v>
      </c>
      <c r="F160" s="157">
        <v>60243.199999999997</v>
      </c>
      <c r="G160" s="157"/>
      <c r="H160" s="157"/>
      <c r="I160" s="157"/>
      <c r="J160" s="158"/>
      <c r="K160" s="157">
        <f t="shared" ref="K160:K162" si="84">L160+M160+N160</f>
        <v>0</v>
      </c>
      <c r="L160" s="157"/>
      <c r="M160" s="157"/>
      <c r="N160" s="157"/>
      <c r="O160" s="89">
        <f t="shared" ref="O160:O162" si="85">F160-L160</f>
        <v>60243.199999999997</v>
      </c>
      <c r="P160" s="89">
        <f t="shared" ref="P160:P162" si="86">H160-N160</f>
        <v>0</v>
      </c>
      <c r="Q160" s="91">
        <f t="shared" si="49"/>
        <v>0</v>
      </c>
      <c r="R160" s="91"/>
      <c r="S160" s="92" t="s">
        <v>246</v>
      </c>
    </row>
    <row r="161" s="148" customFormat="1" ht="66" customHeight="1">
      <c r="A161" s="101"/>
      <c r="B161" s="153" t="s">
        <v>307</v>
      </c>
      <c r="C161" s="154"/>
      <c r="D161" s="88" t="s">
        <v>36</v>
      </c>
      <c r="E161" s="157">
        <f t="shared" si="83"/>
        <v>28002</v>
      </c>
      <c r="F161" s="157">
        <v>28002</v>
      </c>
      <c r="G161" s="157"/>
      <c r="H161" s="157"/>
      <c r="I161" s="157"/>
      <c r="J161" s="158"/>
      <c r="K161" s="157">
        <f t="shared" si="84"/>
        <v>185.53419</v>
      </c>
      <c r="L161" s="157">
        <f>185.53419</f>
        <v>185.53419</v>
      </c>
      <c r="M161" s="157"/>
      <c r="N161" s="157"/>
      <c r="O161" s="89">
        <f t="shared" si="85"/>
        <v>27816.465810000002</v>
      </c>
      <c r="P161" s="89">
        <f t="shared" si="86"/>
        <v>0</v>
      </c>
      <c r="Q161" s="91">
        <f t="shared" si="49"/>
        <v>0.0066257478037283048</v>
      </c>
      <c r="R161" s="91"/>
      <c r="S161" s="92" t="s">
        <v>308</v>
      </c>
    </row>
    <row r="162" s="148" customFormat="1" ht="69" customHeight="1">
      <c r="A162" s="101"/>
      <c r="B162" s="153" t="s">
        <v>309</v>
      </c>
      <c r="C162" s="154"/>
      <c r="D162" s="88" t="s">
        <v>36</v>
      </c>
      <c r="E162" s="157">
        <f t="shared" si="83"/>
        <v>29937.599999999999</v>
      </c>
      <c r="F162" s="157">
        <v>29937.599999999999</v>
      </c>
      <c r="G162" s="157"/>
      <c r="H162" s="157"/>
      <c r="I162" s="157"/>
      <c r="J162" s="158">
        <v>2598.7887099999998</v>
      </c>
      <c r="K162" s="157">
        <f t="shared" si="84"/>
        <v>7848.7687099999994</v>
      </c>
      <c r="L162" s="157">
        <f>2598.78871+5249.98</f>
        <v>7848.7687099999994</v>
      </c>
      <c r="M162" s="157"/>
      <c r="N162" s="157"/>
      <c r="O162" s="89">
        <f t="shared" si="85"/>
        <v>22088.831289999998</v>
      </c>
      <c r="P162" s="89">
        <f t="shared" si="86"/>
        <v>0</v>
      </c>
      <c r="Q162" s="91">
        <f t="shared" si="49"/>
        <v>0.26217093922024476</v>
      </c>
      <c r="R162" s="91"/>
      <c r="S162" s="92" t="s">
        <v>310</v>
      </c>
    </row>
    <row r="163" s="148" customFormat="1" ht="69.75" customHeight="1">
      <c r="A163" s="149"/>
      <c r="B163" s="149" t="s">
        <v>311</v>
      </c>
      <c r="C163" s="150"/>
      <c r="D163" s="151"/>
      <c r="E163" s="152">
        <f>E164+E165+E166</f>
        <v>120407.09999999999</v>
      </c>
      <c r="F163" s="152">
        <f t="shared" si="82"/>
        <v>120407.09999999999</v>
      </c>
      <c r="G163" s="152">
        <f t="shared" si="82"/>
        <v>0</v>
      </c>
      <c r="H163" s="152">
        <f t="shared" si="82"/>
        <v>0</v>
      </c>
      <c r="I163" s="152">
        <f t="shared" si="82"/>
        <v>0</v>
      </c>
      <c r="J163" s="152">
        <f t="shared" si="82"/>
        <v>0</v>
      </c>
      <c r="K163" s="152">
        <f t="shared" si="82"/>
        <v>52.233600000000003</v>
      </c>
      <c r="L163" s="152">
        <f t="shared" si="82"/>
        <v>52.233600000000003</v>
      </c>
      <c r="M163" s="152">
        <f t="shared" si="82"/>
        <v>0</v>
      </c>
      <c r="N163" s="152">
        <f t="shared" si="82"/>
        <v>0</v>
      </c>
      <c r="O163" s="152">
        <f t="shared" si="82"/>
        <v>120354.8664</v>
      </c>
      <c r="P163" s="152">
        <f t="shared" si="82"/>
        <v>0</v>
      </c>
      <c r="Q163" s="109">
        <f t="shared" si="49"/>
        <v>0.00043380830532418774</v>
      </c>
      <c r="R163" s="109"/>
      <c r="S163" s="159"/>
    </row>
    <row r="164" s="148" customFormat="1" ht="37.5">
      <c r="A164" s="160"/>
      <c r="B164" s="153" t="s">
        <v>312</v>
      </c>
      <c r="C164" s="154" t="s">
        <v>313</v>
      </c>
      <c r="D164" s="88" t="s">
        <v>36</v>
      </c>
      <c r="E164" s="157">
        <f t="shared" ref="E164:E166" si="87">F164+G164+H164</f>
        <v>51137</v>
      </c>
      <c r="F164" s="157">
        <v>51137</v>
      </c>
      <c r="G164" s="157"/>
      <c r="H164" s="157"/>
      <c r="I164" s="157"/>
      <c r="J164" s="156"/>
      <c r="K164" s="157">
        <f t="shared" ref="K164:K166" si="88">L164+M164+N164</f>
        <v>52.233600000000003</v>
      </c>
      <c r="L164" s="157">
        <f>52.2336</f>
        <v>52.233600000000003</v>
      </c>
      <c r="M164" s="157"/>
      <c r="N164" s="157"/>
      <c r="O164" s="89">
        <f t="shared" ref="O164:O166" si="89">F164-L164</f>
        <v>51084.7664</v>
      </c>
      <c r="P164" s="89">
        <f t="shared" ref="P164:P166" si="90">H164-N164</f>
        <v>0</v>
      </c>
      <c r="Q164" s="91">
        <f t="shared" si="49"/>
        <v>0.0010214443553591334</v>
      </c>
      <c r="R164" s="91"/>
      <c r="S164" s="92" t="s">
        <v>314</v>
      </c>
    </row>
    <row r="165" s="148" customFormat="1" ht="54" customHeight="1">
      <c r="A165" s="101"/>
      <c r="B165" s="153" t="s">
        <v>315</v>
      </c>
      <c r="C165" s="154" t="s">
        <v>242</v>
      </c>
      <c r="D165" s="88" t="s">
        <v>36</v>
      </c>
      <c r="E165" s="157">
        <f t="shared" si="87"/>
        <v>57028.199999999997</v>
      </c>
      <c r="F165" s="157">
        <v>57028.199999999997</v>
      </c>
      <c r="G165" s="157"/>
      <c r="H165" s="157"/>
      <c r="I165" s="157"/>
      <c r="J165" s="156"/>
      <c r="K165" s="157">
        <f t="shared" si="88"/>
        <v>0</v>
      </c>
      <c r="L165" s="157"/>
      <c r="M165" s="157"/>
      <c r="N165" s="157"/>
      <c r="O165" s="89">
        <f t="shared" si="89"/>
        <v>57028.199999999997</v>
      </c>
      <c r="P165" s="89">
        <f t="shared" si="90"/>
        <v>0</v>
      </c>
      <c r="Q165" s="91">
        <f t="shared" si="49"/>
        <v>0</v>
      </c>
      <c r="R165" s="91"/>
      <c r="S165" s="92" t="s">
        <v>91</v>
      </c>
    </row>
    <row r="166" s="148" customFormat="1" ht="56.25" customHeight="1">
      <c r="A166" s="101"/>
      <c r="B166" s="153" t="s">
        <v>316</v>
      </c>
      <c r="C166" s="154" t="s">
        <v>317</v>
      </c>
      <c r="D166" s="88" t="s">
        <v>36</v>
      </c>
      <c r="E166" s="157">
        <f t="shared" si="87"/>
        <v>12241.9</v>
      </c>
      <c r="F166" s="157">
        <v>12241.9</v>
      </c>
      <c r="G166" s="157"/>
      <c r="H166" s="157"/>
      <c r="I166" s="157"/>
      <c r="J166" s="156"/>
      <c r="K166" s="157">
        <f t="shared" si="88"/>
        <v>0</v>
      </c>
      <c r="L166" s="157"/>
      <c r="M166" s="157"/>
      <c r="N166" s="157"/>
      <c r="O166" s="89">
        <f t="shared" si="89"/>
        <v>12241.9</v>
      </c>
      <c r="P166" s="89">
        <f t="shared" si="90"/>
        <v>0</v>
      </c>
      <c r="Q166" s="91">
        <f t="shared" si="49"/>
        <v>0</v>
      </c>
      <c r="R166" s="91"/>
      <c r="S166" s="92" t="s">
        <v>318</v>
      </c>
    </row>
    <row r="167" s="148" customFormat="1" ht="85.5" customHeight="1">
      <c r="A167" s="149"/>
      <c r="B167" s="149" t="s">
        <v>319</v>
      </c>
      <c r="C167" s="152"/>
      <c r="D167" s="152"/>
      <c r="E167" s="152">
        <f t="shared" ref="E167:P167" si="91">E168+E169</f>
        <v>18560.099999999999</v>
      </c>
      <c r="F167" s="152">
        <f t="shared" si="91"/>
        <v>18560.099999999999</v>
      </c>
      <c r="G167" s="152">
        <f t="shared" si="91"/>
        <v>0</v>
      </c>
      <c r="H167" s="152">
        <f t="shared" si="91"/>
        <v>0</v>
      </c>
      <c r="I167" s="152">
        <f t="shared" si="91"/>
        <v>0</v>
      </c>
      <c r="J167" s="152">
        <f t="shared" si="91"/>
        <v>0</v>
      </c>
      <c r="K167" s="152">
        <f t="shared" si="91"/>
        <v>0</v>
      </c>
      <c r="L167" s="152">
        <f t="shared" si="91"/>
        <v>0</v>
      </c>
      <c r="M167" s="152">
        <f t="shared" si="91"/>
        <v>0</v>
      </c>
      <c r="N167" s="152">
        <f t="shared" si="91"/>
        <v>0</v>
      </c>
      <c r="O167" s="152">
        <f t="shared" si="91"/>
        <v>18560.099999999999</v>
      </c>
      <c r="P167" s="152">
        <f t="shared" si="91"/>
        <v>0</v>
      </c>
      <c r="Q167" s="109">
        <f t="shared" si="49"/>
        <v>0</v>
      </c>
      <c r="R167" s="109"/>
      <c r="S167" s="133"/>
    </row>
    <row r="168" s="148" customFormat="1" ht="94.5" customHeight="1">
      <c r="A168" s="153"/>
      <c r="B168" s="153" t="s">
        <v>320</v>
      </c>
      <c r="C168" s="161" t="s">
        <v>321</v>
      </c>
      <c r="D168" s="88" t="s">
        <v>281</v>
      </c>
      <c r="E168" s="157">
        <f t="shared" ref="E168:E169" si="92">F168+G168+H168</f>
        <v>5000</v>
      </c>
      <c r="F168" s="157">
        <v>5000</v>
      </c>
      <c r="G168" s="157"/>
      <c r="H168" s="157"/>
      <c r="I168" s="156"/>
      <c r="J168" s="156"/>
      <c r="K168" s="157">
        <f t="shared" ref="K168:K169" si="93">L168+M168+N168</f>
        <v>0</v>
      </c>
      <c r="L168" s="157"/>
      <c r="M168" s="157"/>
      <c r="N168" s="156"/>
      <c r="O168" s="89">
        <f t="shared" ref="O168:O169" si="94">F168-L168</f>
        <v>5000</v>
      </c>
      <c r="P168" s="89">
        <f t="shared" ref="P168:P169" si="95">H168-N168</f>
        <v>0</v>
      </c>
      <c r="Q168" s="91">
        <f t="shared" si="49"/>
        <v>0</v>
      </c>
      <c r="R168" s="91"/>
      <c r="S168" s="92" t="s">
        <v>322</v>
      </c>
    </row>
    <row r="169" s="148" customFormat="1" ht="66.75" customHeight="1">
      <c r="A169" s="153"/>
      <c r="B169" s="153" t="s">
        <v>323</v>
      </c>
      <c r="C169" s="161" t="s">
        <v>324</v>
      </c>
      <c r="D169" s="88" t="s">
        <v>281</v>
      </c>
      <c r="E169" s="157">
        <f t="shared" si="92"/>
        <v>13560.1</v>
      </c>
      <c r="F169" s="157">
        <v>13560.1</v>
      </c>
      <c r="G169" s="157"/>
      <c r="H169" s="157"/>
      <c r="I169" s="156"/>
      <c r="J169" s="156"/>
      <c r="K169" s="157">
        <f t="shared" si="93"/>
        <v>0</v>
      </c>
      <c r="L169" s="157"/>
      <c r="M169" s="157"/>
      <c r="N169" s="157"/>
      <c r="O169" s="89">
        <f t="shared" si="94"/>
        <v>13560.1</v>
      </c>
      <c r="P169" s="89">
        <f t="shared" si="95"/>
        <v>0</v>
      </c>
      <c r="Q169" s="91">
        <f t="shared" si="49"/>
        <v>0</v>
      </c>
      <c r="R169" s="91"/>
      <c r="S169" s="92" t="s">
        <v>325</v>
      </c>
    </row>
    <row r="170" s="148" customFormat="1" ht="39" customHeight="1">
      <c r="A170" s="149"/>
      <c r="B170" s="149" t="s">
        <v>326</v>
      </c>
      <c r="C170" s="150"/>
      <c r="D170" s="151"/>
      <c r="E170" s="152">
        <f>E171</f>
        <v>158297.89999999999</v>
      </c>
      <c r="F170" s="152">
        <f t="shared" ref="F170:P170" si="96">F171</f>
        <v>158297.89999999999</v>
      </c>
      <c r="G170" s="152">
        <f t="shared" si="96"/>
        <v>0</v>
      </c>
      <c r="H170" s="152">
        <f t="shared" si="96"/>
        <v>0</v>
      </c>
      <c r="I170" s="152">
        <f t="shared" si="96"/>
        <v>0</v>
      </c>
      <c r="J170" s="152">
        <f t="shared" si="96"/>
        <v>0</v>
      </c>
      <c r="K170" s="152">
        <f t="shared" si="96"/>
        <v>12.25145</v>
      </c>
      <c r="L170" s="152">
        <f t="shared" si="96"/>
        <v>12.25145</v>
      </c>
      <c r="M170" s="152">
        <f t="shared" si="96"/>
        <v>0</v>
      </c>
      <c r="N170" s="152">
        <f t="shared" si="96"/>
        <v>0</v>
      </c>
      <c r="O170" s="152">
        <f t="shared" si="96"/>
        <v>158285.64854999998</v>
      </c>
      <c r="P170" s="152">
        <f t="shared" si="96"/>
        <v>0</v>
      </c>
      <c r="Q170" s="109">
        <f t="shared" si="49"/>
        <v>7.7394899111106339e-05</v>
      </c>
      <c r="R170" s="109"/>
      <c r="S170" s="133"/>
    </row>
    <row r="171" s="148" customFormat="1" ht="24" customHeight="1">
      <c r="A171" s="79"/>
      <c r="B171" s="79" t="s">
        <v>32</v>
      </c>
      <c r="C171" s="134"/>
      <c r="D171" s="82"/>
      <c r="E171" s="82">
        <f>E172+E173</f>
        <v>158297.89999999999</v>
      </c>
      <c r="F171" s="82">
        <f t="shared" ref="F171:P171" si="97">F172+F173</f>
        <v>158297.89999999999</v>
      </c>
      <c r="G171" s="82">
        <f t="shared" si="97"/>
        <v>0</v>
      </c>
      <c r="H171" s="82">
        <f t="shared" si="97"/>
        <v>0</v>
      </c>
      <c r="I171" s="82">
        <f t="shared" si="97"/>
        <v>0</v>
      </c>
      <c r="J171" s="82">
        <f t="shared" si="97"/>
        <v>0</v>
      </c>
      <c r="K171" s="82">
        <f t="shared" si="97"/>
        <v>12.25145</v>
      </c>
      <c r="L171" s="82">
        <f t="shared" si="97"/>
        <v>12.25145</v>
      </c>
      <c r="M171" s="82">
        <f t="shared" si="97"/>
        <v>0</v>
      </c>
      <c r="N171" s="82">
        <f t="shared" si="97"/>
        <v>0</v>
      </c>
      <c r="O171" s="82">
        <f t="shared" si="97"/>
        <v>158285.64854999998</v>
      </c>
      <c r="P171" s="82">
        <f t="shared" si="97"/>
        <v>0</v>
      </c>
      <c r="Q171" s="83">
        <f t="shared" si="49"/>
        <v>7.7394899111106339e-05</v>
      </c>
      <c r="R171" s="83"/>
      <c r="S171" s="83"/>
    </row>
    <row r="172" ht="66" customHeight="1">
      <c r="A172" s="27"/>
      <c r="B172" s="153" t="s">
        <v>327</v>
      </c>
      <c r="C172" s="162"/>
      <c r="D172" s="88" t="s">
        <v>36</v>
      </c>
      <c r="E172" s="157">
        <f t="shared" ref="E172:E174" si="98">F172+G172+H172</f>
        <v>17653.599999999999</v>
      </c>
      <c r="F172" s="156">
        <v>17653.599999999999</v>
      </c>
      <c r="G172" s="156"/>
      <c r="H172" s="156"/>
      <c r="I172" s="156"/>
      <c r="J172" s="158"/>
      <c r="K172" s="156">
        <f t="shared" ref="K172:K174" si="99">L172+M172+N172</f>
        <v>0</v>
      </c>
      <c r="L172" s="156"/>
      <c r="M172" s="156"/>
      <c r="N172" s="156"/>
      <c r="O172" s="90">
        <f t="shared" ref="O172:O174" si="100">F172-L172</f>
        <v>17653.599999999999</v>
      </c>
      <c r="P172" s="90">
        <f t="shared" ref="P172:P174" si="101">H172-N172</f>
        <v>0</v>
      </c>
      <c r="Q172" s="163">
        <f t="shared" ref="Q172:Q235" si="102">L172/F172</f>
        <v>0</v>
      </c>
      <c r="R172" s="163"/>
      <c r="S172" s="92"/>
    </row>
    <row r="173" ht="54" customHeight="1">
      <c r="A173" s="27"/>
      <c r="B173" s="153" t="s">
        <v>328</v>
      </c>
      <c r="C173" s="162"/>
      <c r="D173" s="88" t="s">
        <v>36</v>
      </c>
      <c r="E173" s="157">
        <f t="shared" si="98"/>
        <v>140644.29999999999</v>
      </c>
      <c r="F173" s="156">
        <v>140644.29999999999</v>
      </c>
      <c r="G173" s="156"/>
      <c r="H173" s="156"/>
      <c r="I173" s="156"/>
      <c r="J173" s="164"/>
      <c r="K173" s="156">
        <f t="shared" si="99"/>
        <v>12.25145</v>
      </c>
      <c r="L173" s="156">
        <f>12.25145</f>
        <v>12.25145</v>
      </c>
      <c r="M173" s="156"/>
      <c r="N173" s="156"/>
      <c r="O173" s="90">
        <f t="shared" si="100"/>
        <v>140632.04854999998</v>
      </c>
      <c r="P173" s="90">
        <f t="shared" si="101"/>
        <v>0</v>
      </c>
      <c r="Q173" s="163">
        <f t="shared" si="102"/>
        <v>8.7109466931827319e-05</v>
      </c>
      <c r="R173" s="163"/>
      <c r="S173" s="92"/>
    </row>
    <row r="174" ht="123" customHeight="1">
      <c r="A174" s="165"/>
      <c r="B174" s="165" t="s">
        <v>329</v>
      </c>
      <c r="C174" s="150"/>
      <c r="D174" s="151"/>
      <c r="E174" s="152">
        <f t="shared" si="98"/>
        <v>456873.79999999999</v>
      </c>
      <c r="F174" s="152">
        <v>456873.79999999999</v>
      </c>
      <c r="G174" s="152"/>
      <c r="H174" s="152"/>
      <c r="I174" s="152"/>
      <c r="J174" s="166"/>
      <c r="K174" s="152">
        <f t="shared" si="99"/>
        <v>0</v>
      </c>
      <c r="L174" s="166"/>
      <c r="M174" s="152"/>
      <c r="N174" s="152"/>
      <c r="O174" s="76">
        <f t="shared" si="100"/>
        <v>456873.79999999999</v>
      </c>
      <c r="P174" s="76">
        <f t="shared" si="101"/>
        <v>0</v>
      </c>
      <c r="Q174" s="109">
        <f t="shared" si="102"/>
        <v>0</v>
      </c>
      <c r="R174" s="109"/>
      <c r="S174" s="167"/>
    </row>
    <row r="175" ht="71.25" customHeight="1">
      <c r="A175" s="74"/>
      <c r="B175" s="74" t="s">
        <v>330</v>
      </c>
      <c r="C175" s="108"/>
      <c r="D175" s="76"/>
      <c r="E175" s="76">
        <f t="shared" ref="E175:P175" si="103">E176+E214+E240+E242+E246+E252+E263</f>
        <v>2818649.1858100002</v>
      </c>
      <c r="F175" s="76">
        <f t="shared" si="103"/>
        <v>2689481.6085299999</v>
      </c>
      <c r="G175" s="76">
        <f t="shared" si="103"/>
        <v>83366.877279999986</v>
      </c>
      <c r="H175" s="76">
        <f t="shared" si="103"/>
        <v>45800.699999999997</v>
      </c>
      <c r="I175" s="76">
        <f t="shared" si="103"/>
        <v>0</v>
      </c>
      <c r="J175" s="76">
        <f t="shared" si="103"/>
        <v>31829.008670000003</v>
      </c>
      <c r="K175" s="76">
        <f t="shared" si="103"/>
        <v>148564.65613999998</v>
      </c>
      <c r="L175" s="76">
        <f t="shared" si="103"/>
        <v>104956.40966</v>
      </c>
      <c r="M175" s="76">
        <f t="shared" si="103"/>
        <v>3608.24649</v>
      </c>
      <c r="N175" s="76">
        <f t="shared" si="103"/>
        <v>39999.999990000011</v>
      </c>
      <c r="O175" s="76">
        <f t="shared" si="103"/>
        <v>2584525.19887</v>
      </c>
      <c r="P175" s="76">
        <f t="shared" si="103"/>
        <v>5800.7000099999996</v>
      </c>
      <c r="Q175" s="109">
        <f t="shared" si="102"/>
        <v>0.039024773148520035</v>
      </c>
      <c r="R175" s="109">
        <f t="shared" ref="R175:R238" si="104">N175/H175</f>
        <v>0.87334909706620234</v>
      </c>
      <c r="S175" s="133"/>
    </row>
    <row r="176" s="4" customFormat="1" ht="56.25" customHeight="1">
      <c r="A176" s="101"/>
      <c r="B176" s="168" t="s">
        <v>331</v>
      </c>
      <c r="C176" s="169"/>
      <c r="D176" s="170"/>
      <c r="E176" s="171">
        <f>E177+E178</f>
        <v>120143.78414</v>
      </c>
      <c r="F176" s="171">
        <f>F177+F178</f>
        <v>70744.851749999987</v>
      </c>
      <c r="G176" s="171">
        <f>G177+G178</f>
        <v>3598.2323900000001</v>
      </c>
      <c r="H176" s="171">
        <f>H177+H178</f>
        <v>45800.699999999997</v>
      </c>
      <c r="I176" s="171">
        <f t="shared" ref="I176:P176" si="105">I177+I178</f>
        <v>0</v>
      </c>
      <c r="J176" s="171">
        <f t="shared" si="105"/>
        <v>17664.544409999999</v>
      </c>
      <c r="K176" s="171">
        <f t="shared" si="105"/>
        <v>103986.14725999997</v>
      </c>
      <c r="L176" s="171">
        <f t="shared" si="105"/>
        <v>60718.285970000004</v>
      </c>
      <c r="M176" s="171">
        <f t="shared" si="105"/>
        <v>3267.8613</v>
      </c>
      <c r="N176" s="171">
        <f t="shared" si="105"/>
        <v>39999.999990000011</v>
      </c>
      <c r="O176" s="171">
        <f t="shared" si="105"/>
        <v>10026.565779999995</v>
      </c>
      <c r="P176" s="171">
        <f t="shared" si="105"/>
        <v>5800.7000099999996</v>
      </c>
      <c r="Q176" s="172">
        <f t="shared" si="102"/>
        <v>0.85827144262833255</v>
      </c>
      <c r="R176" s="172">
        <f t="shared" si="104"/>
        <v>0.87334909706620234</v>
      </c>
      <c r="S176" s="173"/>
    </row>
    <row r="177" s="4" customFormat="1" ht="54" customHeight="1">
      <c r="A177" s="101"/>
      <c r="B177" s="174" t="s">
        <v>332</v>
      </c>
      <c r="C177" s="141"/>
      <c r="D177" s="141"/>
      <c r="E177" s="90">
        <f>F177+G177+H177</f>
        <v>1221.35175</v>
      </c>
      <c r="F177" s="90">
        <v>1221.35175</v>
      </c>
      <c r="G177" s="90"/>
      <c r="H177" s="90"/>
      <c r="I177" s="90"/>
      <c r="J177" s="90"/>
      <c r="K177" s="90">
        <f>L177+M177+N177</f>
        <v>0</v>
      </c>
      <c r="L177" s="90"/>
      <c r="M177" s="90"/>
      <c r="N177" s="90"/>
      <c r="O177" s="89">
        <f>F177-L177</f>
        <v>1221.35175</v>
      </c>
      <c r="P177" s="89">
        <f>H177-N177</f>
        <v>0</v>
      </c>
      <c r="Q177" s="91"/>
      <c r="R177" s="91"/>
      <c r="S177" s="175"/>
    </row>
    <row r="178" s="4" customFormat="1" ht="38.25" customHeight="1">
      <c r="A178" s="101"/>
      <c r="B178" s="176" t="s">
        <v>333</v>
      </c>
      <c r="C178" s="141"/>
      <c r="D178" s="136" t="s">
        <v>334</v>
      </c>
      <c r="E178" s="90">
        <f>SUM(E179:E213)</f>
        <v>118922.43239</v>
      </c>
      <c r="F178" s="90">
        <f t="shared" ref="F178:P178" si="106">SUM(F179:F213)</f>
        <v>69523.499999999985</v>
      </c>
      <c r="G178" s="90">
        <f t="shared" si="106"/>
        <v>3598.2323900000001</v>
      </c>
      <c r="H178" s="90">
        <f t="shared" si="106"/>
        <v>45800.699999999997</v>
      </c>
      <c r="I178" s="90">
        <f t="shared" si="106"/>
        <v>0</v>
      </c>
      <c r="J178" s="90">
        <f t="shared" si="106"/>
        <v>17664.544409999999</v>
      </c>
      <c r="K178" s="90">
        <f t="shared" si="106"/>
        <v>103986.14725999997</v>
      </c>
      <c r="L178" s="90">
        <f>SUM(L179:L213)</f>
        <v>60718.285970000004</v>
      </c>
      <c r="M178" s="90">
        <f t="shared" si="106"/>
        <v>3267.8613</v>
      </c>
      <c r="N178" s="90">
        <f t="shared" si="106"/>
        <v>39999.999990000011</v>
      </c>
      <c r="O178" s="90">
        <f t="shared" si="106"/>
        <v>8805.2140299999955</v>
      </c>
      <c r="P178" s="90">
        <f t="shared" si="106"/>
        <v>5800.7000099999996</v>
      </c>
      <c r="Q178" s="91">
        <f t="shared" si="102"/>
        <v>0.87334909735557065</v>
      </c>
      <c r="R178" s="91">
        <f t="shared" si="104"/>
        <v>0.87334909706620234</v>
      </c>
      <c r="S178" s="175"/>
    </row>
    <row r="179" s="4" customFormat="1" ht="23.25">
      <c r="A179" s="101"/>
      <c r="B179" s="177" t="s">
        <v>335</v>
      </c>
      <c r="C179" s="141"/>
      <c r="D179" s="141"/>
      <c r="E179" s="178">
        <f t="shared" ref="E179:E213" si="107">F179+G179+H179</f>
        <v>2885.6000000000004</v>
      </c>
      <c r="F179" s="178">
        <v>1619.0210900000002</v>
      </c>
      <c r="G179" s="178">
        <v>200</v>
      </c>
      <c r="H179" s="178">
        <v>1066.57891</v>
      </c>
      <c r="I179" s="178"/>
      <c r="J179" s="178">
        <v>0</v>
      </c>
      <c r="K179" s="178">
        <f t="shared" ref="K179:K213" si="108">L179+M179+N179</f>
        <v>2885.5259999999998</v>
      </c>
      <c r="L179" s="178">
        <f>1618.97957</f>
        <v>1618.97957</v>
      </c>
      <c r="M179" s="178">
        <v>199.99486999999999</v>
      </c>
      <c r="N179" s="178">
        <f>1066.55156</f>
        <v>1066.5515600000001</v>
      </c>
      <c r="O179" s="89">
        <f t="shared" ref="O179:O213" si="109">F179-L179</f>
        <v>0.041520000000218715</v>
      </c>
      <c r="P179" s="89">
        <f t="shared" ref="P179:P213" si="110">H179-N179</f>
        <v>0.027349999999842112</v>
      </c>
      <c r="Q179" s="91">
        <f t="shared" si="102"/>
        <v>0.99997435487390707</v>
      </c>
      <c r="R179" s="91">
        <f t="shared" si="104"/>
        <v>0.99997435726532424</v>
      </c>
      <c r="S179" s="175"/>
    </row>
    <row r="180" s="4" customFormat="1" ht="23.25">
      <c r="A180" s="101"/>
      <c r="B180" s="179" t="s">
        <v>336</v>
      </c>
      <c r="C180" s="141"/>
      <c r="D180" s="141"/>
      <c r="E180" s="178">
        <f t="shared" si="107"/>
        <v>3307.1999999999998</v>
      </c>
      <c r="F180" s="178">
        <v>1993.7543000000001</v>
      </c>
      <c r="G180" s="178">
        <v>0</v>
      </c>
      <c r="H180" s="178">
        <v>1313.4457</v>
      </c>
      <c r="I180" s="178"/>
      <c r="J180" s="178">
        <v>2203.3000000000002</v>
      </c>
      <c r="K180" s="178">
        <f t="shared" si="108"/>
        <v>2645.74548</v>
      </c>
      <c r="L180" s="178">
        <f>1594.99468</f>
        <v>1594.99468</v>
      </c>
      <c r="M180" s="178">
        <v>0</v>
      </c>
      <c r="N180" s="178">
        <f>1050.7508</f>
        <v>1050.7508</v>
      </c>
      <c r="O180" s="89">
        <f t="shared" si="109"/>
        <v>398.75962000000004</v>
      </c>
      <c r="P180" s="89">
        <f t="shared" si="110"/>
        <v>262.69489999999996</v>
      </c>
      <c r="Q180" s="91">
        <f t="shared" si="102"/>
        <v>0.79999560627906863</v>
      </c>
      <c r="R180" s="91">
        <f t="shared" si="104"/>
        <v>0.79999561458840673</v>
      </c>
      <c r="S180" s="175"/>
    </row>
    <row r="181" s="4" customFormat="1" ht="23.25">
      <c r="A181" s="101"/>
      <c r="B181" s="179" t="s">
        <v>337</v>
      </c>
      <c r="C181" s="141"/>
      <c r="D181" s="141"/>
      <c r="E181" s="178">
        <f t="shared" si="107"/>
        <v>1402.6999999999998</v>
      </c>
      <c r="F181" s="178">
        <v>775.08765999999969</v>
      </c>
      <c r="G181" s="178">
        <v>117</v>
      </c>
      <c r="H181" s="178">
        <v>510.61234000000002</v>
      </c>
      <c r="I181" s="178"/>
      <c r="J181" s="178">
        <v>0</v>
      </c>
      <c r="K181" s="178">
        <f t="shared" si="108"/>
        <v>1402.6635000000001</v>
      </c>
      <c r="L181" s="178">
        <f>775.06749</f>
        <v>775.06749000000002</v>
      </c>
      <c r="M181" s="178">
        <v>116.99696</v>
      </c>
      <c r="N181" s="178">
        <f>510.59905</f>
        <v>510.59904999999998</v>
      </c>
      <c r="O181" s="89">
        <f t="shared" si="109"/>
        <v>0.020169999999666288</v>
      </c>
      <c r="P181" s="89">
        <f t="shared" si="110"/>
        <v>0.013290000000040436</v>
      </c>
      <c r="Q181" s="91">
        <f t="shared" si="102"/>
        <v>0.99997397713698644</v>
      </c>
      <c r="R181" s="91">
        <f t="shared" si="104"/>
        <v>0.99997397242690989</v>
      </c>
      <c r="S181" s="175"/>
    </row>
    <row r="182" s="4" customFormat="1" ht="23.25">
      <c r="A182" s="101"/>
      <c r="B182" s="179" t="s">
        <v>338</v>
      </c>
      <c r="C182" s="141"/>
      <c r="D182" s="141"/>
      <c r="E182" s="178">
        <f t="shared" si="107"/>
        <v>865.70000000000005</v>
      </c>
      <c r="F182" s="178">
        <v>461.60428000000002</v>
      </c>
      <c r="G182" s="178">
        <v>100</v>
      </c>
      <c r="H182" s="178">
        <v>304.09571999999997</v>
      </c>
      <c r="I182" s="178"/>
      <c r="J182" s="178">
        <v>0</v>
      </c>
      <c r="K182" s="178">
        <f t="shared" si="108"/>
        <v>865.65779999999995</v>
      </c>
      <c r="L182" s="178">
        <f>408.26287+53.31891</f>
        <v>461.58178000000004</v>
      </c>
      <c r="M182" s="178">
        <v>99.995130000000003</v>
      </c>
      <c r="N182" s="178">
        <f>268.95546+35.12543</f>
        <v>304.08089000000001</v>
      </c>
      <c r="O182" s="89">
        <f t="shared" si="109"/>
        <v>0.022499999999979536</v>
      </c>
      <c r="P182" s="89">
        <f t="shared" si="110"/>
        <v>0.014829999999960819</v>
      </c>
      <c r="Q182" s="91">
        <f t="shared" si="102"/>
        <v>0.99995125695108378</v>
      </c>
      <c r="R182" s="91">
        <f t="shared" si="104"/>
        <v>0.99995123246062145</v>
      </c>
      <c r="S182" s="175"/>
    </row>
    <row r="183" s="4" customFormat="1" ht="23.25">
      <c r="A183" s="101"/>
      <c r="B183" s="179" t="s">
        <v>339</v>
      </c>
      <c r="C183" s="141"/>
      <c r="D183" s="141"/>
      <c r="E183" s="178">
        <f t="shared" si="107"/>
        <v>378</v>
      </c>
      <c r="F183" s="178">
        <v>204.36704999999998</v>
      </c>
      <c r="G183" s="178">
        <v>39</v>
      </c>
      <c r="H183" s="178">
        <v>134.63295000000002</v>
      </c>
      <c r="I183" s="178"/>
      <c r="J183" s="178">
        <v>0</v>
      </c>
      <c r="K183" s="178">
        <f t="shared" si="108"/>
        <v>378</v>
      </c>
      <c r="L183" s="178">
        <f>204.36705</f>
        <v>204.36705000000001</v>
      </c>
      <c r="M183" s="178">
        <v>39</v>
      </c>
      <c r="N183" s="178">
        <f>134.63295</f>
        <v>134.63294999999999</v>
      </c>
      <c r="O183" s="89">
        <f t="shared" si="109"/>
        <v>0</v>
      </c>
      <c r="P183" s="89">
        <f t="shared" si="110"/>
        <v>0</v>
      </c>
      <c r="Q183" s="91">
        <f t="shared" si="102"/>
        <v>1.0000000000000002</v>
      </c>
      <c r="R183" s="91">
        <f t="shared" si="104"/>
        <v>0.99999999999999978</v>
      </c>
      <c r="S183" s="175"/>
    </row>
    <row r="184" s="4" customFormat="1" ht="23.25">
      <c r="A184" s="101"/>
      <c r="B184" s="179" t="s">
        <v>340</v>
      </c>
      <c r="C184" s="141"/>
      <c r="D184" s="141"/>
      <c r="E184" s="178">
        <f t="shared" si="107"/>
        <v>680.40000000000009</v>
      </c>
      <c r="F184" s="178">
        <v>365.44928000000004</v>
      </c>
      <c r="G184" s="178">
        <v>74.200000000000003</v>
      </c>
      <c r="H184" s="178">
        <v>240.75072</v>
      </c>
      <c r="I184" s="178"/>
      <c r="J184" s="178">
        <v>0</v>
      </c>
      <c r="K184" s="178">
        <f t="shared" si="108"/>
        <v>680.39999999999998</v>
      </c>
      <c r="L184" s="178">
        <f>365.44928</f>
        <v>365.44927999999999</v>
      </c>
      <c r="M184" s="178">
        <v>74.200000000000003</v>
      </c>
      <c r="N184" s="178">
        <f>240.75072</f>
        <v>240.75072</v>
      </c>
      <c r="O184" s="89">
        <f t="shared" si="109"/>
        <v>0</v>
      </c>
      <c r="P184" s="89">
        <f t="shared" si="110"/>
        <v>0</v>
      </c>
      <c r="Q184" s="91">
        <f t="shared" si="102"/>
        <v>0.99999999999999989</v>
      </c>
      <c r="R184" s="91">
        <f t="shared" si="104"/>
        <v>1</v>
      </c>
      <c r="S184" s="175"/>
    </row>
    <row r="185" s="4" customFormat="1" ht="23.25">
      <c r="A185" s="101"/>
      <c r="B185" s="179" t="s">
        <v>341</v>
      </c>
      <c r="C185" s="141"/>
      <c r="D185" s="141"/>
      <c r="E185" s="178">
        <f t="shared" si="107"/>
        <v>1428.3</v>
      </c>
      <c r="F185" s="178">
        <v>835.37292000000002</v>
      </c>
      <c r="G185" s="178">
        <v>42.600000000000001</v>
      </c>
      <c r="H185" s="178">
        <v>550.32707999999991</v>
      </c>
      <c r="I185" s="178"/>
      <c r="J185" s="178">
        <v>1428.2604000000001</v>
      </c>
      <c r="K185" s="178">
        <f t="shared" si="108"/>
        <v>1428.2604000000001</v>
      </c>
      <c r="L185" s="178">
        <f>835.34976</f>
        <v>835.34975999999995</v>
      </c>
      <c r="M185" s="178">
        <v>42.598819999999996</v>
      </c>
      <c r="N185" s="178">
        <f>550.31182</f>
        <v>550.31182000000001</v>
      </c>
      <c r="O185" s="89">
        <f t="shared" si="109"/>
        <v>0.023160000000075343</v>
      </c>
      <c r="P185" s="89">
        <f t="shared" si="110"/>
        <v>0.015259999999898355</v>
      </c>
      <c r="Q185" s="91">
        <f t="shared" si="102"/>
        <v>0.99997227585495585</v>
      </c>
      <c r="R185" s="91">
        <f t="shared" si="104"/>
        <v>0.99997227103561781</v>
      </c>
      <c r="S185" s="175"/>
    </row>
    <row r="186" s="4" customFormat="1" ht="23.25">
      <c r="A186" s="101"/>
      <c r="B186" s="179" t="s">
        <v>342</v>
      </c>
      <c r="C186" s="141"/>
      <c r="D186" s="141"/>
      <c r="E186" s="178">
        <f t="shared" si="107"/>
        <v>1291.5</v>
      </c>
      <c r="F186" s="178">
        <v>778.58420000000001</v>
      </c>
      <c r="G186" s="178">
        <v>0</v>
      </c>
      <c r="H186" s="178">
        <v>512.91579999999999</v>
      </c>
      <c r="I186" s="178"/>
      <c r="J186" s="178">
        <v>0</v>
      </c>
      <c r="K186" s="178">
        <f t="shared" si="108"/>
        <v>1291.5</v>
      </c>
      <c r="L186" s="178">
        <f>778.5842</f>
        <v>778.58420000000001</v>
      </c>
      <c r="M186" s="178">
        <v>0</v>
      </c>
      <c r="N186" s="178">
        <f>512.9158</f>
        <v>512.91579999999999</v>
      </c>
      <c r="O186" s="89">
        <f t="shared" si="109"/>
        <v>0</v>
      </c>
      <c r="P186" s="89">
        <f t="shared" si="110"/>
        <v>0</v>
      </c>
      <c r="Q186" s="91">
        <f t="shared" si="102"/>
        <v>1</v>
      </c>
      <c r="R186" s="91">
        <f t="shared" si="104"/>
        <v>1</v>
      </c>
      <c r="S186" s="175"/>
    </row>
    <row r="187" s="4" customFormat="1" ht="23.25">
      <c r="A187" s="101"/>
      <c r="B187" s="179" t="s">
        <v>343</v>
      </c>
      <c r="C187" s="141"/>
      <c r="D187" s="141"/>
      <c r="E187" s="178">
        <f t="shared" si="107"/>
        <v>2746.7999999999997</v>
      </c>
      <c r="F187" s="178">
        <v>1580.5590899999997</v>
      </c>
      <c r="G187" s="178">
        <v>125</v>
      </c>
      <c r="H187" s="178">
        <v>1041.24091</v>
      </c>
      <c r="I187" s="178"/>
      <c r="J187" s="178">
        <v>0</v>
      </c>
      <c r="K187" s="178">
        <f t="shared" si="108"/>
        <v>2746.8000000000002</v>
      </c>
      <c r="L187" s="178">
        <f>1580.55909</f>
        <v>1580.55909</v>
      </c>
      <c r="M187" s="178">
        <v>125</v>
      </c>
      <c r="N187" s="178">
        <f>1041.24091</f>
        <v>1041.24091</v>
      </c>
      <c r="O187" s="89">
        <f t="shared" si="109"/>
        <v>0</v>
      </c>
      <c r="P187" s="89">
        <f t="shared" si="110"/>
        <v>0</v>
      </c>
      <c r="Q187" s="91">
        <f t="shared" si="102"/>
        <v>1.0000000000000002</v>
      </c>
      <c r="R187" s="91">
        <f t="shared" si="104"/>
        <v>1</v>
      </c>
      <c r="S187" s="175"/>
    </row>
    <row r="188" s="4" customFormat="1" ht="23.25">
      <c r="A188" s="101"/>
      <c r="B188" s="179" t="s">
        <v>344</v>
      </c>
      <c r="C188" s="141"/>
      <c r="D188" s="141"/>
      <c r="E188" s="178">
        <f t="shared" si="107"/>
        <v>3546.3510100000003</v>
      </c>
      <c r="F188" s="178">
        <v>1975.2467199999999</v>
      </c>
      <c r="G188" s="178">
        <v>269.85101000000003</v>
      </c>
      <c r="H188" s="178">
        <v>1301.2532800000001</v>
      </c>
      <c r="I188" s="178"/>
      <c r="J188" s="178">
        <v>0</v>
      </c>
      <c r="K188" s="178">
        <f t="shared" si="108"/>
        <v>3376.4849999999997</v>
      </c>
      <c r="L188" s="178">
        <f>1872.84573</f>
        <v>1872.84573</v>
      </c>
      <c r="M188" s="178">
        <v>269.84573</v>
      </c>
      <c r="N188" s="178">
        <f>1233.79354</f>
        <v>1233.7935399999999</v>
      </c>
      <c r="O188" s="89">
        <f t="shared" si="109"/>
        <v>102.40098999999987</v>
      </c>
      <c r="P188" s="89">
        <f t="shared" si="110"/>
        <v>67.459740000000238</v>
      </c>
      <c r="Q188" s="91">
        <f t="shared" si="102"/>
        <v>0.94815787366552373</v>
      </c>
      <c r="R188" s="91">
        <f t="shared" si="104"/>
        <v>0.94815787131003415</v>
      </c>
      <c r="S188" s="175"/>
    </row>
    <row r="189" s="4" customFormat="1" ht="23.25">
      <c r="A189" s="101"/>
      <c r="B189" s="179" t="s">
        <v>345</v>
      </c>
      <c r="C189" s="141"/>
      <c r="D189" s="141"/>
      <c r="E189" s="178">
        <f t="shared" si="107"/>
        <v>1260</v>
      </c>
      <c r="F189" s="178">
        <v>759.5943400000001</v>
      </c>
      <c r="G189" s="178">
        <v>0</v>
      </c>
      <c r="H189" s="178">
        <v>500.40565999999995</v>
      </c>
      <c r="I189" s="178"/>
      <c r="J189" s="178">
        <v>0</v>
      </c>
      <c r="K189" s="178">
        <f t="shared" si="108"/>
        <v>1260</v>
      </c>
      <c r="L189" s="178">
        <f>759.59434</f>
        <v>759.59433999999999</v>
      </c>
      <c r="M189" s="178">
        <v>0</v>
      </c>
      <c r="N189" s="178">
        <f>500.40566</f>
        <v>500.40566000000001</v>
      </c>
      <c r="O189" s="89">
        <f t="shared" si="109"/>
        <v>0</v>
      </c>
      <c r="P189" s="89">
        <f t="shared" si="110"/>
        <v>0</v>
      </c>
      <c r="Q189" s="91">
        <f t="shared" si="102"/>
        <v>0.99999999999999989</v>
      </c>
      <c r="R189" s="91">
        <f t="shared" si="104"/>
        <v>1.0000000000000002</v>
      </c>
      <c r="S189" s="175"/>
    </row>
    <row r="190" s="4" customFormat="1" ht="23.25">
      <c r="A190" s="101"/>
      <c r="B190" s="179" t="s">
        <v>346</v>
      </c>
      <c r="C190" s="141"/>
      <c r="D190" s="141"/>
      <c r="E190" s="178">
        <f t="shared" si="107"/>
        <v>1843.6999999999998</v>
      </c>
      <c r="F190" s="178">
        <v>1041.6690999999998</v>
      </c>
      <c r="G190" s="178">
        <v>115.8</v>
      </c>
      <c r="H190" s="178">
        <v>686.23090000000002</v>
      </c>
      <c r="I190" s="178"/>
      <c r="J190" s="178">
        <v>1843.6382999999998</v>
      </c>
      <c r="K190" s="178">
        <f t="shared" si="108"/>
        <v>1843.6383000000001</v>
      </c>
      <c r="L190" s="178">
        <f>1041.63424</f>
        <v>1041.6342400000001</v>
      </c>
      <c r="M190" s="178">
        <v>115.79612</v>
      </c>
      <c r="N190" s="178">
        <f>686.20794</f>
        <v>686.20794000000001</v>
      </c>
      <c r="O190" s="89">
        <f t="shared" si="109"/>
        <v>0.0348599999997532</v>
      </c>
      <c r="P190" s="89">
        <f t="shared" si="110"/>
        <v>0.02296000000001186</v>
      </c>
      <c r="Q190" s="91">
        <f t="shared" si="102"/>
        <v>0.99996653447817574</v>
      </c>
      <c r="R190" s="91">
        <f t="shared" si="104"/>
        <v>0.99996654187387946</v>
      </c>
      <c r="S190" s="175"/>
    </row>
    <row r="191" s="4" customFormat="1" ht="23.25">
      <c r="A191" s="101"/>
      <c r="B191" s="179" t="s">
        <v>347</v>
      </c>
      <c r="C191" s="141"/>
      <c r="D191" s="141"/>
      <c r="E191" s="178">
        <f t="shared" si="107"/>
        <v>5228.1000000000004</v>
      </c>
      <c r="F191" s="178">
        <v>2941.1975300000004</v>
      </c>
      <c r="G191" s="178">
        <v>349.30000000000001</v>
      </c>
      <c r="H191" s="178">
        <v>1937.60247</v>
      </c>
      <c r="I191" s="178"/>
      <c r="J191" s="178">
        <v>0</v>
      </c>
      <c r="K191" s="178">
        <f t="shared" si="108"/>
        <v>4928.0427</v>
      </c>
      <c r="L191" s="178">
        <f>2941.16333</f>
        <v>2941.1633299999999</v>
      </c>
      <c r="M191" s="178">
        <v>49.299430000000001</v>
      </c>
      <c r="N191" s="178">
        <f>1937.57994</f>
        <v>1937.5799400000001</v>
      </c>
      <c r="O191" s="89">
        <f t="shared" si="109"/>
        <v>0.034200000000510045</v>
      </c>
      <c r="P191" s="89">
        <f t="shared" si="110"/>
        <v>0.022529999999960637</v>
      </c>
      <c r="Q191" s="91">
        <f t="shared" si="102"/>
        <v>0.99998837208325808</v>
      </c>
      <c r="R191" s="91">
        <f t="shared" si="104"/>
        <v>0.99998837222786985</v>
      </c>
      <c r="S191" s="175"/>
    </row>
    <row r="192" s="4" customFormat="1" ht="23.25">
      <c r="A192" s="101"/>
      <c r="B192" s="179" t="s">
        <v>348</v>
      </c>
      <c r="C192" s="141"/>
      <c r="D192" s="141"/>
      <c r="E192" s="178">
        <f t="shared" si="107"/>
        <v>2193.2999999999997</v>
      </c>
      <c r="F192" s="178">
        <v>1322.2367299999996</v>
      </c>
      <c r="G192" s="178">
        <v>0</v>
      </c>
      <c r="H192" s="178">
        <v>871.06326999999999</v>
      </c>
      <c r="I192" s="178"/>
      <c r="J192" s="178">
        <v>0</v>
      </c>
      <c r="K192" s="178">
        <f t="shared" si="108"/>
        <v>2193.2568000000001</v>
      </c>
      <c r="L192" s="178">
        <f>1322.21068</f>
        <v>1322.2106799999999</v>
      </c>
      <c r="M192" s="178">
        <v>0</v>
      </c>
      <c r="N192" s="178">
        <f>871.04612</f>
        <v>871.04611999999997</v>
      </c>
      <c r="O192" s="89">
        <f t="shared" si="109"/>
        <v>0.026049999999713691</v>
      </c>
      <c r="P192" s="89">
        <f t="shared" si="110"/>
        <v>0.017150000000015098</v>
      </c>
      <c r="Q192" s="91">
        <f t="shared" si="102"/>
        <v>0.99998029853549775</v>
      </c>
      <c r="R192" s="91">
        <f t="shared" si="104"/>
        <v>0.99998031141871013</v>
      </c>
      <c r="S192" s="175"/>
    </row>
    <row r="193" s="4" customFormat="1" ht="23.25">
      <c r="A193" s="101"/>
      <c r="B193" s="179" t="s">
        <v>349</v>
      </c>
      <c r="C193" s="141"/>
      <c r="D193" s="141"/>
      <c r="E193" s="178">
        <f t="shared" si="107"/>
        <v>1075.8000000000002</v>
      </c>
      <c r="F193" s="178">
        <v>648.54888000000005</v>
      </c>
      <c r="G193" s="178">
        <v>0</v>
      </c>
      <c r="H193" s="178">
        <v>427.25112000000001</v>
      </c>
      <c r="I193" s="178"/>
      <c r="J193" s="178">
        <v>0</v>
      </c>
      <c r="K193" s="178">
        <f t="shared" si="108"/>
        <v>1075.7250000000001</v>
      </c>
      <c r="L193" s="178">
        <f>648.50367</f>
        <v>648.50367000000006</v>
      </c>
      <c r="M193" s="178">
        <v>0</v>
      </c>
      <c r="N193" s="178">
        <f>427.22133</f>
        <v>427.22133000000002</v>
      </c>
      <c r="O193" s="89">
        <f t="shared" si="109"/>
        <v>0.045209999999997308</v>
      </c>
      <c r="P193" s="89">
        <f t="shared" si="110"/>
        <v>0.029789999999991323</v>
      </c>
      <c r="Q193" s="91">
        <f t="shared" si="102"/>
        <v>0.9999302905279861</v>
      </c>
      <c r="R193" s="91">
        <f t="shared" si="104"/>
        <v>0.99993027519740618</v>
      </c>
      <c r="S193" s="175"/>
    </row>
    <row r="194" s="4" customFormat="1" ht="23.25">
      <c r="A194" s="101"/>
      <c r="B194" s="179" t="s">
        <v>350</v>
      </c>
      <c r="C194" s="141"/>
      <c r="D194" s="141"/>
      <c r="E194" s="178">
        <f t="shared" si="107"/>
        <v>2259.7000000000003</v>
      </c>
      <c r="F194" s="178">
        <v>1362.2661400000002</v>
      </c>
      <c r="G194" s="178">
        <v>0</v>
      </c>
      <c r="H194" s="178">
        <v>897.43385999999998</v>
      </c>
      <c r="I194" s="178"/>
      <c r="J194" s="178">
        <v>0</v>
      </c>
      <c r="K194" s="178">
        <f t="shared" si="108"/>
        <v>2259.6840000000002</v>
      </c>
      <c r="L194" s="178">
        <f>1362.2565</f>
        <v>1362.2565</v>
      </c>
      <c r="M194" s="178">
        <v>0</v>
      </c>
      <c r="N194" s="178">
        <f>897.4275</f>
        <v>897.42750000000001</v>
      </c>
      <c r="O194" s="89">
        <f t="shared" si="109"/>
        <v>0.0096400000002176967</v>
      </c>
      <c r="P194" s="89">
        <f t="shared" si="110"/>
        <v>0.0063599999999723877</v>
      </c>
      <c r="Q194" s="91">
        <f t="shared" si="102"/>
        <v>0.99999292355603864</v>
      </c>
      <c r="R194" s="91">
        <f t="shared" si="104"/>
        <v>0.99999291312676797</v>
      </c>
      <c r="S194" s="175"/>
    </row>
    <row r="195" s="4" customFormat="1" ht="23.25">
      <c r="A195" s="101"/>
      <c r="B195" s="179" t="s">
        <v>351</v>
      </c>
      <c r="C195" s="141"/>
      <c r="D195" s="141"/>
      <c r="E195" s="178">
        <f t="shared" si="107"/>
        <v>3240</v>
      </c>
      <c r="F195" s="178">
        <v>1953.2426</v>
      </c>
      <c r="G195" s="178">
        <v>0</v>
      </c>
      <c r="H195" s="178">
        <v>1286.7574</v>
      </c>
      <c r="I195" s="178"/>
      <c r="J195" s="178">
        <v>0</v>
      </c>
      <c r="K195" s="178">
        <f t="shared" si="108"/>
        <v>3239.9639999999999</v>
      </c>
      <c r="L195" s="178">
        <f>1953.2209</f>
        <v>1953.2209</v>
      </c>
      <c r="M195" s="178">
        <v>0</v>
      </c>
      <c r="N195" s="178">
        <f>1286.7431</f>
        <v>1286.7430999999999</v>
      </c>
      <c r="O195" s="89">
        <f t="shared" si="109"/>
        <v>0.021700000000009823</v>
      </c>
      <c r="P195" s="89">
        <f t="shared" si="110"/>
        <v>0.014300000000048385</v>
      </c>
      <c r="Q195" s="91">
        <f t="shared" si="102"/>
        <v>0.99998889026893023</v>
      </c>
      <c r="R195" s="91">
        <f t="shared" si="104"/>
        <v>0.99998888679404518</v>
      </c>
      <c r="S195" s="175"/>
    </row>
    <row r="196" s="4" customFormat="1" ht="23.25">
      <c r="A196" s="101"/>
      <c r="B196" s="179" t="s">
        <v>352</v>
      </c>
      <c r="C196" s="141"/>
      <c r="D196" s="141"/>
      <c r="E196" s="178">
        <f t="shared" si="107"/>
        <v>5145.0999999999995</v>
      </c>
      <c r="F196" s="178">
        <v>3049.2287199999996</v>
      </c>
      <c r="G196" s="178">
        <v>87.099999999999994</v>
      </c>
      <c r="H196" s="178">
        <v>2008.7712799999999</v>
      </c>
      <c r="I196" s="178"/>
      <c r="J196" s="178">
        <v>0</v>
      </c>
      <c r="K196" s="178">
        <f t="shared" si="108"/>
        <v>5145.0083999999997</v>
      </c>
      <c r="L196" s="178">
        <f>3049.17444</f>
        <v>3049.1744399999998</v>
      </c>
      <c r="M196" s="178">
        <v>87.09845</v>
      </c>
      <c r="N196" s="178">
        <f>2008.73551</f>
        <v>2008.73551</v>
      </c>
      <c r="O196" s="89">
        <f t="shared" si="109"/>
        <v>0.054279999999835127</v>
      </c>
      <c r="P196" s="89">
        <f t="shared" si="110"/>
        <v>0.035769999999956781</v>
      </c>
      <c r="Q196" s="91">
        <f t="shared" si="102"/>
        <v>0.99998219877713868</v>
      </c>
      <c r="R196" s="91">
        <f t="shared" si="104"/>
        <v>0.99998219309467629</v>
      </c>
      <c r="S196" s="175"/>
    </row>
    <row r="197" s="4" customFormat="1" ht="23.25">
      <c r="A197" s="101"/>
      <c r="B197" s="179" t="s">
        <v>353</v>
      </c>
      <c r="C197" s="141"/>
      <c r="D197" s="141"/>
      <c r="E197" s="178">
        <f t="shared" si="107"/>
        <v>613.20000000000005</v>
      </c>
      <c r="F197" s="178">
        <v>369.66924999999998</v>
      </c>
      <c r="G197" s="178">
        <v>0</v>
      </c>
      <c r="H197" s="178">
        <v>243.53075000000001</v>
      </c>
      <c r="I197" s="178"/>
      <c r="J197" s="178">
        <v>613.19159999999999</v>
      </c>
      <c r="K197" s="178">
        <f t="shared" si="108"/>
        <v>613.19159999999999</v>
      </c>
      <c r="L197" s="178">
        <f>369.66418</f>
        <v>369.66417999999999</v>
      </c>
      <c r="M197" s="178">
        <v>0</v>
      </c>
      <c r="N197" s="178">
        <v>243.52742000000001</v>
      </c>
      <c r="O197" s="89">
        <f t="shared" si="109"/>
        <v>0.0050699999999892498</v>
      </c>
      <c r="P197" s="89">
        <f t="shared" si="110"/>
        <v>0.0033300000000053842</v>
      </c>
      <c r="Q197" s="91">
        <f t="shared" si="102"/>
        <v>0.99998628503723264</v>
      </c>
      <c r="R197" s="91">
        <f t="shared" si="104"/>
        <v>0.99998632616209659</v>
      </c>
      <c r="S197" s="175"/>
    </row>
    <row r="198" s="4" customFormat="1" ht="23.25">
      <c r="A198" s="101"/>
      <c r="B198" s="179" t="s">
        <v>354</v>
      </c>
      <c r="C198" s="141"/>
      <c r="D198" s="141"/>
      <c r="E198" s="178">
        <f t="shared" si="107"/>
        <v>2152.1100000000001</v>
      </c>
      <c r="F198" s="178">
        <v>1180.32521</v>
      </c>
      <c r="G198" s="178">
        <v>194.21000000000001</v>
      </c>
      <c r="H198" s="178">
        <v>777.57479000000001</v>
      </c>
      <c r="I198" s="178"/>
      <c r="J198" s="178">
        <v>0</v>
      </c>
      <c r="K198" s="178">
        <f t="shared" si="108"/>
        <v>2152.0484999999999</v>
      </c>
      <c r="L198" s="178">
        <f>1180.29148</f>
        <v>1180.2914800000001</v>
      </c>
      <c r="M198" s="178">
        <v>194.20445000000001</v>
      </c>
      <c r="N198" s="178">
        <f>777.55257</f>
        <v>777.55256999999995</v>
      </c>
      <c r="O198" s="89">
        <f t="shared" si="109"/>
        <v>0.033729999999877691</v>
      </c>
      <c r="P198" s="89">
        <f t="shared" si="110"/>
        <v>0.022220000000061191</v>
      </c>
      <c r="Q198" s="91">
        <f t="shared" si="102"/>
        <v>0.99997142313007115</v>
      </c>
      <c r="R198" s="91">
        <f t="shared" si="104"/>
        <v>0.99997142397067673</v>
      </c>
      <c r="S198" s="175"/>
    </row>
    <row r="199" s="4" customFormat="1" ht="23.25">
      <c r="A199" s="101"/>
      <c r="B199" s="179" t="s">
        <v>355</v>
      </c>
      <c r="C199" s="141"/>
      <c r="D199" s="141"/>
      <c r="E199" s="178">
        <f t="shared" si="107"/>
        <v>3007.6713799999998</v>
      </c>
      <c r="F199" s="178">
        <v>1771.9647999999995</v>
      </c>
      <c r="G199" s="178">
        <v>68.371380000000002</v>
      </c>
      <c r="H199" s="178">
        <v>1167.3352</v>
      </c>
      <c r="I199" s="178"/>
      <c r="J199" s="178">
        <v>925.8406500000001</v>
      </c>
      <c r="K199" s="178">
        <f t="shared" si="108"/>
        <v>970</v>
      </c>
      <c r="L199" s="178">
        <f>561.82978</f>
        <v>561.82978000000003</v>
      </c>
      <c r="M199" s="178">
        <v>38.047919999999998</v>
      </c>
      <c r="N199" s="178">
        <f>370.1223</f>
        <v>370.1223</v>
      </c>
      <c r="O199" s="89">
        <f t="shared" si="109"/>
        <v>1210.1350199999995</v>
      </c>
      <c r="P199" s="89">
        <f t="shared" si="110"/>
        <v>797.21289999999999</v>
      </c>
      <c r="Q199" s="91">
        <f t="shared" si="102"/>
        <v>0.31706599363599108</v>
      </c>
      <c r="R199" s="91">
        <f t="shared" si="104"/>
        <v>0.31706599783849576</v>
      </c>
      <c r="S199" s="175"/>
    </row>
    <row r="200" s="4" customFormat="1" ht="23.25">
      <c r="A200" s="101"/>
      <c r="B200" s="179" t="s">
        <v>356</v>
      </c>
      <c r="C200" s="141"/>
      <c r="D200" s="141"/>
      <c r="E200" s="178">
        <f t="shared" si="107"/>
        <v>1386</v>
      </c>
      <c r="F200" s="178">
        <v>775.26850999999999</v>
      </c>
      <c r="G200" s="178">
        <v>100</v>
      </c>
      <c r="H200" s="178">
        <v>510.73149000000001</v>
      </c>
      <c r="I200" s="178"/>
      <c r="J200" s="178">
        <v>0</v>
      </c>
      <c r="K200" s="178">
        <f t="shared" si="108"/>
        <v>1386</v>
      </c>
      <c r="L200" s="178">
        <f>775.26851</f>
        <v>775.26850999999999</v>
      </c>
      <c r="M200" s="178">
        <v>100</v>
      </c>
      <c r="N200" s="178">
        <f>510.73149</f>
        <v>510.73149000000001</v>
      </c>
      <c r="O200" s="89">
        <f t="shared" si="109"/>
        <v>0</v>
      </c>
      <c r="P200" s="89">
        <f t="shared" si="110"/>
        <v>0</v>
      </c>
      <c r="Q200" s="91">
        <f t="shared" si="102"/>
        <v>1</v>
      </c>
      <c r="R200" s="91">
        <f t="shared" si="104"/>
        <v>1</v>
      </c>
      <c r="S200" s="175"/>
    </row>
    <row r="201" s="4" customFormat="1" ht="23.25">
      <c r="A201" s="101"/>
      <c r="B201" s="179" t="s">
        <v>357</v>
      </c>
      <c r="C201" s="141"/>
      <c r="D201" s="141"/>
      <c r="E201" s="178">
        <f t="shared" si="107"/>
        <v>820</v>
      </c>
      <c r="F201" s="178">
        <v>494.33918</v>
      </c>
      <c r="G201" s="178">
        <v>0</v>
      </c>
      <c r="H201" s="178">
        <v>325.66082</v>
      </c>
      <c r="I201" s="178"/>
      <c r="J201" s="178">
        <v>707.81726000000003</v>
      </c>
      <c r="K201" s="178">
        <f t="shared" si="108"/>
        <v>710</v>
      </c>
      <c r="L201" s="178">
        <f>428.02538</f>
        <v>428.02537999999998</v>
      </c>
      <c r="M201" s="178">
        <v>0</v>
      </c>
      <c r="N201" s="178">
        <f>281.97462</f>
        <v>281.97462000000002</v>
      </c>
      <c r="O201" s="89">
        <f t="shared" si="109"/>
        <v>66.313800000000015</v>
      </c>
      <c r="P201" s="89">
        <f t="shared" si="110"/>
        <v>43.686199999999985</v>
      </c>
      <c r="Q201" s="91">
        <f t="shared" si="102"/>
        <v>0.8658536432414683</v>
      </c>
      <c r="R201" s="91">
        <f t="shared" si="104"/>
        <v>0.86585368175391808</v>
      </c>
      <c r="S201" s="175"/>
    </row>
    <row r="202" s="4" customFormat="1" ht="23.25">
      <c r="A202" s="101"/>
      <c r="B202" s="179" t="s">
        <v>358</v>
      </c>
      <c r="C202" s="141"/>
      <c r="D202" s="141"/>
      <c r="E202" s="178">
        <f t="shared" si="107"/>
        <v>2910.6000000000004</v>
      </c>
      <c r="F202" s="178">
        <v>1754.66293</v>
      </c>
      <c r="G202" s="178">
        <v>0</v>
      </c>
      <c r="H202" s="178">
        <v>1155.9370700000002</v>
      </c>
      <c r="I202" s="178"/>
      <c r="J202" s="178">
        <v>0</v>
      </c>
      <c r="K202" s="178">
        <f t="shared" si="108"/>
        <v>2910.5999999999999</v>
      </c>
      <c r="L202" s="178">
        <f>1754.66293</f>
        <v>1754.66293</v>
      </c>
      <c r="M202" s="178">
        <v>0</v>
      </c>
      <c r="N202" s="178">
        <f>1155.93707</f>
        <v>1155.9370699999999</v>
      </c>
      <c r="O202" s="89">
        <f t="shared" si="109"/>
        <v>0</v>
      </c>
      <c r="P202" s="89">
        <f t="shared" si="110"/>
        <v>0</v>
      </c>
      <c r="Q202" s="91">
        <f t="shared" si="102"/>
        <v>1</v>
      </c>
      <c r="R202" s="91">
        <f t="shared" si="104"/>
        <v>0.99999999999999978</v>
      </c>
      <c r="S202" s="175"/>
    </row>
    <row r="203" s="4" customFormat="1" ht="23.25">
      <c r="A203" s="101"/>
      <c r="B203" s="179" t="s">
        <v>359</v>
      </c>
      <c r="C203" s="141"/>
      <c r="D203" s="141"/>
      <c r="E203" s="178">
        <f t="shared" si="107"/>
        <v>1521.5</v>
      </c>
      <c r="F203" s="178">
        <v>871.66465000000005</v>
      </c>
      <c r="G203" s="178">
        <v>75.599999999999994</v>
      </c>
      <c r="H203" s="178">
        <v>574.23534999999993</v>
      </c>
      <c r="I203" s="178"/>
      <c r="J203" s="178">
        <v>0</v>
      </c>
      <c r="K203" s="178">
        <f t="shared" si="108"/>
        <v>1521.45</v>
      </c>
      <c r="L203" s="178">
        <f>871.636</f>
        <v>871.63599999999997</v>
      </c>
      <c r="M203" s="178">
        <v>75.597520000000003</v>
      </c>
      <c r="N203" s="178">
        <f>574.21648</f>
        <v>574.21648000000005</v>
      </c>
      <c r="O203" s="89">
        <f t="shared" si="109"/>
        <v>0.028650000000084219</v>
      </c>
      <c r="P203" s="89">
        <f t="shared" si="110"/>
        <v>0.018869999999878928</v>
      </c>
      <c r="Q203" s="91">
        <f t="shared" si="102"/>
        <v>0.99996713185512331</v>
      </c>
      <c r="R203" s="91">
        <f t="shared" si="104"/>
        <v>0.99996713890916</v>
      </c>
      <c r="S203" s="175"/>
    </row>
    <row r="204" s="4" customFormat="1" ht="23.25">
      <c r="A204" s="101"/>
      <c r="B204" s="179" t="s">
        <v>360</v>
      </c>
      <c r="C204" s="141"/>
      <c r="D204" s="141"/>
      <c r="E204" s="178">
        <f t="shared" si="107"/>
        <v>1521.5</v>
      </c>
      <c r="F204" s="178">
        <v>899.15472999999997</v>
      </c>
      <c r="G204" s="178">
        <v>30</v>
      </c>
      <c r="H204" s="178">
        <v>592.34527000000003</v>
      </c>
      <c r="I204" s="178"/>
      <c r="J204" s="178">
        <v>0</v>
      </c>
      <c r="K204" s="178">
        <f t="shared" si="108"/>
        <v>1521.4815000000001</v>
      </c>
      <c r="L204" s="178">
        <f>899.1438</f>
        <v>899.14380000000006</v>
      </c>
      <c r="M204" s="178">
        <v>29.999639999999999</v>
      </c>
      <c r="N204" s="178">
        <f>592.33806</f>
        <v>592.33806000000004</v>
      </c>
      <c r="O204" s="89">
        <f t="shared" si="109"/>
        <v>0.010929999999916618</v>
      </c>
      <c r="P204" s="89">
        <f t="shared" si="110"/>
        <v>0.007209999999986394</v>
      </c>
      <c r="Q204" s="91">
        <f t="shared" si="102"/>
        <v>0.99998784413890596</v>
      </c>
      <c r="R204" s="91">
        <f t="shared" si="104"/>
        <v>0.9999878280449509</v>
      </c>
      <c r="S204" s="175"/>
    </row>
    <row r="205" s="4" customFormat="1" ht="23.25">
      <c r="A205" s="101"/>
      <c r="B205" s="179" t="s">
        <v>361</v>
      </c>
      <c r="C205" s="141"/>
      <c r="D205" s="141"/>
      <c r="E205" s="178">
        <f t="shared" si="107"/>
        <v>721.60000000000002</v>
      </c>
      <c r="F205" s="178">
        <v>404.87584000000004</v>
      </c>
      <c r="G205" s="178">
        <v>50</v>
      </c>
      <c r="H205" s="178">
        <v>266.72415999999998</v>
      </c>
      <c r="I205" s="178"/>
      <c r="J205" s="178">
        <v>0</v>
      </c>
      <c r="K205" s="178">
        <f t="shared" si="108"/>
        <v>721.50749999999994</v>
      </c>
      <c r="L205" s="178">
        <f>404.82394</f>
        <v>404.82393999999999</v>
      </c>
      <c r="M205" s="178">
        <v>49.993589999999998</v>
      </c>
      <c r="N205" s="178">
        <f>266.68997</f>
        <v>266.68997000000002</v>
      </c>
      <c r="O205" s="89">
        <f t="shared" si="109"/>
        <v>0.05190000000004602</v>
      </c>
      <c r="P205" s="89">
        <f t="shared" si="110"/>
        <v>0.034189999999966858</v>
      </c>
      <c r="Q205" s="91">
        <f t="shared" si="102"/>
        <v>0.99987181255369539</v>
      </c>
      <c r="R205" s="91">
        <f t="shared" si="104"/>
        <v>0.99987181513665668</v>
      </c>
      <c r="S205" s="175"/>
    </row>
    <row r="206" s="4" customFormat="1" ht="23.25">
      <c r="A206" s="101"/>
      <c r="B206" s="179" t="s">
        <v>362</v>
      </c>
      <c r="C206" s="141"/>
      <c r="D206" s="141"/>
      <c r="E206" s="178">
        <f t="shared" si="107"/>
        <v>11631.099999999999</v>
      </c>
      <c r="F206" s="178">
        <v>6710.4131699999998</v>
      </c>
      <c r="G206" s="178">
        <v>500</v>
      </c>
      <c r="H206" s="178">
        <v>4420.6868299999996</v>
      </c>
      <c r="I206" s="178"/>
      <c r="J206" s="178">
        <v>0</v>
      </c>
      <c r="K206" s="178">
        <f t="shared" si="108"/>
        <v>11631.0852</v>
      </c>
      <c r="L206" s="178">
        <f>6710.40464</f>
        <v>6710.4046399999997</v>
      </c>
      <c r="M206" s="178">
        <v>499.99935999999997</v>
      </c>
      <c r="N206" s="178">
        <f>4420.6812</f>
        <v>4420.6812</v>
      </c>
      <c r="O206" s="89">
        <f t="shared" si="109"/>
        <v>0.0085300000000643195</v>
      </c>
      <c r="P206" s="89">
        <f t="shared" si="110"/>
        <v>0.0056299999996554106</v>
      </c>
      <c r="Q206" s="91">
        <f t="shared" si="102"/>
        <v>0.99999872884131213</v>
      </c>
      <c r="R206" s="91">
        <f t="shared" si="104"/>
        <v>0.99999872644224386</v>
      </c>
      <c r="S206" s="175"/>
    </row>
    <row r="207" s="4" customFormat="1" ht="23.25">
      <c r="A207" s="101"/>
      <c r="B207" s="179" t="s">
        <v>363</v>
      </c>
      <c r="C207" s="141"/>
      <c r="D207" s="141"/>
      <c r="E207" s="178">
        <f t="shared" si="107"/>
        <v>1567.6999999999998</v>
      </c>
      <c r="F207" s="178">
        <v>945.09210999999971</v>
      </c>
      <c r="G207" s="178">
        <v>0</v>
      </c>
      <c r="H207" s="178">
        <v>622.60789</v>
      </c>
      <c r="I207" s="178"/>
      <c r="J207" s="178">
        <v>0</v>
      </c>
      <c r="K207" s="178">
        <f t="shared" si="108"/>
        <v>1567.6668</v>
      </c>
      <c r="L207" s="178">
        <f>945.07209</f>
        <v>945.07209</v>
      </c>
      <c r="M207" s="178">
        <v>0</v>
      </c>
      <c r="N207" s="178">
        <f>622.59471</f>
        <v>622.59470999999996</v>
      </c>
      <c r="O207" s="89">
        <f t="shared" si="109"/>
        <v>0.020019999999703941</v>
      </c>
      <c r="P207" s="89">
        <f t="shared" si="110"/>
        <v>0.013180000000033942</v>
      </c>
      <c r="Q207" s="91">
        <f t="shared" si="102"/>
        <v>0.99997881687955292</v>
      </c>
      <c r="R207" s="91">
        <f t="shared" si="104"/>
        <v>0.99997883097819396</v>
      </c>
      <c r="S207" s="175"/>
    </row>
    <row r="208" s="4" customFormat="1" ht="23.25">
      <c r="A208" s="101"/>
      <c r="B208" s="179" t="s">
        <v>364</v>
      </c>
      <c r="C208" s="141"/>
      <c r="D208" s="141"/>
      <c r="E208" s="178">
        <f t="shared" si="107"/>
        <v>2417.4000000000001</v>
      </c>
      <c r="F208" s="178">
        <v>1457.336</v>
      </c>
      <c r="G208" s="178">
        <v>0</v>
      </c>
      <c r="H208" s="178">
        <v>960.06399999999996</v>
      </c>
      <c r="I208" s="178"/>
      <c r="J208" s="178">
        <v>0</v>
      </c>
      <c r="K208" s="178">
        <f t="shared" si="108"/>
        <v>2417.3352</v>
      </c>
      <c r="L208" s="178">
        <f>1457.29694</f>
        <v>1457.2969399999999</v>
      </c>
      <c r="M208" s="178">
        <v>0</v>
      </c>
      <c r="N208" s="178">
        <f>960.03826</f>
        <v>960.03826000000004</v>
      </c>
      <c r="O208" s="89">
        <f t="shared" si="109"/>
        <v>0.039060000000063155</v>
      </c>
      <c r="P208" s="89">
        <f t="shared" si="110"/>
        <v>0.025739999999927932</v>
      </c>
      <c r="Q208" s="91">
        <f t="shared" si="102"/>
        <v>0.9999731976702696</v>
      </c>
      <c r="R208" s="91">
        <f t="shared" si="104"/>
        <v>0.99997318928738088</v>
      </c>
      <c r="S208" s="175"/>
    </row>
    <row r="209" s="4" customFormat="1" ht="23.25">
      <c r="A209" s="101"/>
      <c r="B209" s="179" t="s">
        <v>365</v>
      </c>
      <c r="C209" s="141"/>
      <c r="D209" s="141"/>
      <c r="E209" s="178">
        <f t="shared" si="107"/>
        <v>3824.0999999999999</v>
      </c>
      <c r="F209" s="178">
        <v>2305.3688299999999</v>
      </c>
      <c r="G209" s="178">
        <v>0</v>
      </c>
      <c r="H209" s="178">
        <v>1518.73117</v>
      </c>
      <c r="I209" s="178"/>
      <c r="J209" s="178">
        <v>0</v>
      </c>
      <c r="K209" s="178">
        <f t="shared" si="108"/>
        <v>3824.0369999999998</v>
      </c>
      <c r="L209" s="178">
        <f>2305.33085</f>
        <v>2305.3308499999998</v>
      </c>
      <c r="M209" s="178">
        <v>0</v>
      </c>
      <c r="N209" s="178">
        <f>1518.70615</f>
        <v>1518.70615</v>
      </c>
      <c r="O209" s="89">
        <f t="shared" si="109"/>
        <v>0.037980000000061409</v>
      </c>
      <c r="P209" s="89">
        <f t="shared" si="110"/>
        <v>0.025020000000040454</v>
      </c>
      <c r="Q209" s="91">
        <f t="shared" si="102"/>
        <v>0.99998352541272106</v>
      </c>
      <c r="R209" s="91">
        <f t="shared" si="104"/>
        <v>0.99998352572167193</v>
      </c>
      <c r="S209" s="175"/>
    </row>
    <row r="210" s="4" customFormat="1" ht="23.25">
      <c r="A210" s="101"/>
      <c r="B210" s="179" t="s">
        <v>366</v>
      </c>
      <c r="C210" s="141"/>
      <c r="D210" s="141"/>
      <c r="E210" s="178">
        <f t="shared" si="107"/>
        <v>3376.5</v>
      </c>
      <c r="F210" s="178">
        <v>2035.53199</v>
      </c>
      <c r="G210" s="178">
        <v>0</v>
      </c>
      <c r="H210" s="178">
        <v>1340.96801</v>
      </c>
      <c r="I210" s="178"/>
      <c r="J210" s="178">
        <v>0</v>
      </c>
      <c r="K210" s="178">
        <f t="shared" si="108"/>
        <v>3376.4850000000001</v>
      </c>
      <c r="L210" s="178">
        <f>2035.52294</f>
        <v>2035.5229400000001</v>
      </c>
      <c r="M210" s="178">
        <v>0</v>
      </c>
      <c r="N210" s="178">
        <f>1340.96206</f>
        <v>1340.9620600000001</v>
      </c>
      <c r="O210" s="89">
        <f t="shared" si="109"/>
        <v>0.0090499999998883141</v>
      </c>
      <c r="P210" s="89">
        <f t="shared" si="110"/>
        <v>0.0059499999999843567</v>
      </c>
      <c r="Q210" s="91">
        <f t="shared" si="102"/>
        <v>0.99999555398783002</v>
      </c>
      <c r="R210" s="91">
        <f t="shared" si="104"/>
        <v>0.99999556290682878</v>
      </c>
      <c r="S210" s="175"/>
    </row>
    <row r="211" s="4" customFormat="1" ht="23.25">
      <c r="A211" s="101"/>
      <c r="B211" s="179" t="s">
        <v>367</v>
      </c>
      <c r="C211" s="141"/>
      <c r="D211" s="141"/>
      <c r="E211" s="178">
        <f t="shared" si="107"/>
        <v>3824.1000000000004</v>
      </c>
      <c r="F211" s="178">
        <v>2206.3201399999998</v>
      </c>
      <c r="G211" s="178">
        <v>164.30000000000001</v>
      </c>
      <c r="H211" s="178">
        <v>1453.4798600000001</v>
      </c>
      <c r="I211" s="178"/>
      <c r="J211" s="178">
        <v>3824.0369999999998</v>
      </c>
      <c r="K211" s="178">
        <f t="shared" si="108"/>
        <v>3824.0370000000003</v>
      </c>
      <c r="L211" s="178">
        <f>2206.2838</f>
        <v>2206.2838000000002</v>
      </c>
      <c r="M211" s="178">
        <v>164.29729</v>
      </c>
      <c r="N211" s="178">
        <f>1453.45591</f>
        <v>1453.4559099999999</v>
      </c>
      <c r="O211" s="89">
        <f t="shared" si="109"/>
        <v>0.036339999999654538</v>
      </c>
      <c r="P211" s="89">
        <f t="shared" si="110"/>
        <v>0.023950000000240834</v>
      </c>
      <c r="Q211" s="91">
        <f t="shared" si="102"/>
        <v>0.99998352913553168</v>
      </c>
      <c r="R211" s="91">
        <f t="shared" si="104"/>
        <v>0.99998352230350118</v>
      </c>
      <c r="S211" s="175"/>
    </row>
    <row r="212" s="4" customFormat="1" ht="23.25">
      <c r="A212" s="101"/>
      <c r="B212" s="179" t="s">
        <v>368</v>
      </c>
      <c r="C212" s="141"/>
      <c r="D212" s="141"/>
      <c r="E212" s="178">
        <f t="shared" si="107"/>
        <v>4727.1000000000004</v>
      </c>
      <c r="F212" s="178">
        <v>2309.6490899999999</v>
      </c>
      <c r="G212" s="178">
        <v>895.89999999999998</v>
      </c>
      <c r="H212" s="178">
        <v>1521.5509099999999</v>
      </c>
      <c r="I212" s="178"/>
      <c r="J212" s="178">
        <v>0</v>
      </c>
      <c r="K212" s="178">
        <f t="shared" si="108"/>
        <v>4727.0789999999997</v>
      </c>
      <c r="L212" s="178">
        <f>2309.63883</f>
        <v>2309.6388299999999</v>
      </c>
      <c r="M212" s="178">
        <v>895.89602000000002</v>
      </c>
      <c r="N212" s="178">
        <f>1521.54415</f>
        <v>1521.5441499999999</v>
      </c>
      <c r="O212" s="89">
        <f t="shared" si="109"/>
        <v>0.010260000000016589</v>
      </c>
      <c r="P212" s="89">
        <f t="shared" si="110"/>
        <v>0.0067599999999856664</v>
      </c>
      <c r="Q212" s="91">
        <f t="shared" si="102"/>
        <v>0.99999555776674287</v>
      </c>
      <c r="R212" s="91">
        <f t="shared" si="104"/>
        <v>0.99999555716476163</v>
      </c>
      <c r="S212" s="175"/>
    </row>
    <row r="213" s="4" customFormat="1" ht="23.25">
      <c r="A213" s="101"/>
      <c r="B213" s="179" t="s">
        <v>369</v>
      </c>
      <c r="C213" s="141"/>
      <c r="D213" s="141"/>
      <c r="E213" s="178">
        <f t="shared" si="107"/>
        <v>32121.999999999996</v>
      </c>
      <c r="F213" s="178">
        <v>19364.832939999997</v>
      </c>
      <c r="G213" s="178">
        <v>0</v>
      </c>
      <c r="H213" s="178">
        <v>12757.16706</v>
      </c>
      <c r="I213" s="178"/>
      <c r="J213" s="178">
        <v>6118.4592000000002</v>
      </c>
      <c r="K213" s="178">
        <f t="shared" si="108"/>
        <v>20465.78558</v>
      </c>
      <c r="L213" s="178">
        <f>12337.85315</f>
        <v>12337.853150000001</v>
      </c>
      <c r="M213" s="178">
        <v>0</v>
      </c>
      <c r="N213" s="178">
        <f>8127.93243</f>
        <v>8127.9324299999998</v>
      </c>
      <c r="O213" s="89">
        <f t="shared" si="109"/>
        <v>7026.9797899999958</v>
      </c>
      <c r="P213" s="89">
        <f t="shared" si="110"/>
        <v>4629.2346299999999</v>
      </c>
      <c r="Q213" s="91">
        <f t="shared" si="102"/>
        <v>0.63712675385466055</v>
      </c>
      <c r="R213" s="91">
        <f t="shared" si="104"/>
        <v>0.63712675328091217</v>
      </c>
      <c r="S213" s="175"/>
    </row>
    <row r="214" ht="56.25" customHeight="1">
      <c r="A214" s="27"/>
      <c r="B214" s="180" t="s">
        <v>370</v>
      </c>
      <c r="C214" s="181"/>
      <c r="D214" s="181"/>
      <c r="E214" s="182">
        <f>E215+E216+E217</f>
        <v>249777.28228000001</v>
      </c>
      <c r="F214" s="182">
        <f t="shared" ref="F214:P214" si="111">F215+F216+F217</f>
        <v>248682.78260000001</v>
      </c>
      <c r="G214" s="182">
        <f t="shared" si="111"/>
        <v>1094.4996800000001</v>
      </c>
      <c r="H214" s="182">
        <f t="shared" si="111"/>
        <v>0</v>
      </c>
      <c r="I214" s="182">
        <f t="shared" si="111"/>
        <v>0</v>
      </c>
      <c r="J214" s="182">
        <f t="shared" si="111"/>
        <v>0</v>
      </c>
      <c r="K214" s="182">
        <f t="shared" si="111"/>
        <v>30214.044619999997</v>
      </c>
      <c r="L214" s="182">
        <f t="shared" si="111"/>
        <v>30192.075079999999</v>
      </c>
      <c r="M214" s="182">
        <f t="shared" si="111"/>
        <v>21.969540000000002</v>
      </c>
      <c r="N214" s="182">
        <f t="shared" si="111"/>
        <v>0</v>
      </c>
      <c r="O214" s="182">
        <f t="shared" si="111"/>
        <v>218490.70752</v>
      </c>
      <c r="P214" s="182">
        <f t="shared" si="111"/>
        <v>0</v>
      </c>
      <c r="Q214" s="172">
        <f t="shared" si="102"/>
        <v>0.1214079831516249</v>
      </c>
      <c r="R214" s="172"/>
      <c r="S214" s="183"/>
    </row>
    <row r="215" ht="55.5" customHeight="1">
      <c r="A215" s="27"/>
      <c r="B215" s="184" t="s">
        <v>371</v>
      </c>
      <c r="C215" s="185"/>
      <c r="D215" s="186" t="s">
        <v>372</v>
      </c>
      <c r="E215" s="90">
        <f t="shared" ref="E215:E216" si="112">F215+G215+H215</f>
        <v>19821.382600000001</v>
      </c>
      <c r="F215" s="187">
        <f>19929.4-108.0174</f>
        <v>19821.382600000001</v>
      </c>
      <c r="G215" s="187"/>
      <c r="H215" s="187"/>
      <c r="I215" s="187"/>
      <c r="J215" s="187"/>
      <c r="K215" s="187">
        <f t="shared" ref="K215:K216" si="113">L215+M215+N215</f>
        <v>11929.17</v>
      </c>
      <c r="L215" s="187">
        <f>11929.17</f>
        <v>11929.17</v>
      </c>
      <c r="M215" s="187"/>
      <c r="N215" s="187"/>
      <c r="O215" s="89">
        <f t="shared" ref="O215:O216" si="114">F215-L215</f>
        <v>7892.2126000000007</v>
      </c>
      <c r="P215" s="89">
        <f t="shared" ref="P215:P216" si="115">H215-N215</f>
        <v>0</v>
      </c>
      <c r="Q215" s="91">
        <f t="shared" si="102"/>
        <v>0.6018333958197245</v>
      </c>
      <c r="R215" s="91"/>
      <c r="S215" s="188"/>
    </row>
    <row r="216" ht="84" customHeight="1">
      <c r="A216" s="27"/>
      <c r="B216" s="184" t="s">
        <v>373</v>
      </c>
      <c r="C216" s="185"/>
      <c r="D216" s="186" t="s">
        <v>374</v>
      </c>
      <c r="E216" s="90">
        <f t="shared" si="112"/>
        <v>183853</v>
      </c>
      <c r="F216" s="90">
        <v>183853</v>
      </c>
      <c r="G216" s="90"/>
      <c r="H216" s="187"/>
      <c r="I216" s="178"/>
      <c r="J216" s="187"/>
      <c r="K216" s="187">
        <f t="shared" si="113"/>
        <v>14200</v>
      </c>
      <c r="L216" s="158">
        <f>2100+900+7840+3360</f>
        <v>14200</v>
      </c>
      <c r="M216" s="187"/>
      <c r="N216" s="187"/>
      <c r="O216" s="89">
        <f t="shared" si="114"/>
        <v>169653</v>
      </c>
      <c r="P216" s="89">
        <f t="shared" si="115"/>
        <v>0</v>
      </c>
      <c r="Q216" s="91">
        <f t="shared" si="102"/>
        <v>0.077235617585788646</v>
      </c>
      <c r="R216" s="91"/>
      <c r="S216" s="189"/>
    </row>
    <row r="217" ht="58.5" customHeight="1">
      <c r="A217" s="27"/>
      <c r="B217" s="190" t="s">
        <v>375</v>
      </c>
      <c r="C217" s="185"/>
      <c r="D217" s="136" t="s">
        <v>334</v>
      </c>
      <c r="E217" s="90">
        <f t="shared" ref="E217:P217" si="116">SUM(E218:E239)</f>
        <v>46102.89968000001</v>
      </c>
      <c r="F217" s="90">
        <f t="shared" si="116"/>
        <v>45008.399999999987</v>
      </c>
      <c r="G217" s="90">
        <f t="shared" si="116"/>
        <v>1094.4996800000001</v>
      </c>
      <c r="H217" s="90">
        <f t="shared" si="116"/>
        <v>0</v>
      </c>
      <c r="I217" s="90">
        <f t="shared" si="116"/>
        <v>0</v>
      </c>
      <c r="J217" s="90">
        <f t="shared" si="116"/>
        <v>0</v>
      </c>
      <c r="K217" s="90">
        <f t="shared" si="116"/>
        <v>4084.87462</v>
      </c>
      <c r="L217" s="90">
        <f t="shared" si="116"/>
        <v>4062.90508</v>
      </c>
      <c r="M217" s="90">
        <f t="shared" si="116"/>
        <v>21.969540000000002</v>
      </c>
      <c r="N217" s="90">
        <f t="shared" si="116"/>
        <v>0</v>
      </c>
      <c r="O217" s="90">
        <f t="shared" si="116"/>
        <v>40945.494919999997</v>
      </c>
      <c r="P217" s="90">
        <f t="shared" si="116"/>
        <v>0</v>
      </c>
      <c r="Q217" s="91">
        <f t="shared" si="102"/>
        <v>0.090269929168777407</v>
      </c>
      <c r="R217" s="91"/>
      <c r="S217" s="189"/>
    </row>
    <row r="218" ht="23.100000000000001" customHeight="1">
      <c r="A218" s="27"/>
      <c r="B218" s="191" t="s">
        <v>335</v>
      </c>
      <c r="C218" s="185"/>
      <c r="D218" s="141"/>
      <c r="E218" s="90">
        <f t="shared" ref="E218:E239" si="117">F218+G218+H218</f>
        <v>932.24654999999996</v>
      </c>
      <c r="F218" s="90">
        <v>922.5</v>
      </c>
      <c r="G218" s="90">
        <v>9.7465499999999992</v>
      </c>
      <c r="H218" s="90"/>
      <c r="I218" s="90"/>
      <c r="J218" s="90"/>
      <c r="K218" s="187">
        <f t="shared" ref="K218:K239" si="118">L218+M218+N218</f>
        <v>0</v>
      </c>
      <c r="L218" s="90"/>
      <c r="M218" s="90"/>
      <c r="N218" s="90"/>
      <c r="O218" s="89">
        <f t="shared" ref="O218:O239" si="119">F218-L218</f>
        <v>922.5</v>
      </c>
      <c r="P218" s="89">
        <f t="shared" ref="P218:P239" si="120">H218-N218</f>
        <v>0</v>
      </c>
      <c r="Q218" s="91">
        <f t="shared" si="102"/>
        <v>0</v>
      </c>
      <c r="R218" s="91"/>
      <c r="S218" s="189"/>
    </row>
    <row r="219" ht="23.100000000000001" customHeight="1">
      <c r="A219" s="27"/>
      <c r="B219" s="191" t="s">
        <v>336</v>
      </c>
      <c r="C219" s="185"/>
      <c r="D219" s="141"/>
      <c r="E219" s="90">
        <f t="shared" si="117"/>
        <v>4071.55951</v>
      </c>
      <c r="F219" s="90">
        <v>3994.1999999999998</v>
      </c>
      <c r="G219" s="90">
        <v>77.35951</v>
      </c>
      <c r="H219" s="90"/>
      <c r="I219" s="90"/>
      <c r="J219" s="90"/>
      <c r="K219" s="187">
        <f t="shared" si="118"/>
        <v>1471.5397</v>
      </c>
      <c r="L219" s="90">
        <f>1462.4748</f>
        <v>1462.4748</v>
      </c>
      <c r="M219" s="90">
        <v>9.0648999999999997</v>
      </c>
      <c r="N219" s="90"/>
      <c r="O219" s="89">
        <f t="shared" si="119"/>
        <v>2531.7251999999999</v>
      </c>
      <c r="P219" s="89">
        <f t="shared" si="120"/>
        <v>0</v>
      </c>
      <c r="Q219" s="91">
        <f t="shared" si="102"/>
        <v>0.36614961694456966</v>
      </c>
      <c r="R219" s="91"/>
      <c r="S219" s="189"/>
    </row>
    <row r="220" ht="23.100000000000001" customHeight="1">
      <c r="A220" s="27"/>
      <c r="B220" s="191" t="s">
        <v>337</v>
      </c>
      <c r="C220" s="185"/>
      <c r="D220" s="141"/>
      <c r="E220" s="90">
        <f t="shared" si="117"/>
        <v>898.18462</v>
      </c>
      <c r="F220" s="90">
        <v>885.5</v>
      </c>
      <c r="G220" s="90">
        <v>12.684620000000001</v>
      </c>
      <c r="H220" s="90"/>
      <c r="I220" s="90"/>
      <c r="J220" s="90"/>
      <c r="K220" s="187">
        <f t="shared" si="118"/>
        <v>54.997999999999998</v>
      </c>
      <c r="L220" s="90">
        <f>54.11803</f>
        <v>54.118029999999997</v>
      </c>
      <c r="M220" s="90">
        <v>0.87997000000000003</v>
      </c>
      <c r="N220" s="90"/>
      <c r="O220" s="89">
        <f t="shared" si="119"/>
        <v>831.38197000000002</v>
      </c>
      <c r="P220" s="89">
        <f t="shared" si="120"/>
        <v>0</v>
      </c>
      <c r="Q220" s="91">
        <f t="shared" si="102"/>
        <v>0.061115787690570293</v>
      </c>
      <c r="R220" s="91"/>
      <c r="S220" s="189"/>
    </row>
    <row r="221" ht="23.100000000000001" customHeight="1">
      <c r="A221" s="27"/>
      <c r="B221" s="191" t="s">
        <v>338</v>
      </c>
      <c r="C221" s="185"/>
      <c r="D221" s="141"/>
      <c r="E221" s="90">
        <f t="shared" si="117"/>
        <v>3001.1144799999997</v>
      </c>
      <c r="F221" s="90">
        <v>2962.0999999999999</v>
      </c>
      <c r="G221" s="90">
        <v>39.014479999999999</v>
      </c>
      <c r="H221" s="90"/>
      <c r="I221" s="90"/>
      <c r="J221" s="90"/>
      <c r="K221" s="187">
        <f t="shared" si="118"/>
        <v>1049.7461800000001</v>
      </c>
      <c r="L221" s="90">
        <f>38.92846+1005.77827</f>
        <v>1044.7067300000001</v>
      </c>
      <c r="M221" s="90">
        <v>5.0394500000000004</v>
      </c>
      <c r="N221" s="90"/>
      <c r="O221" s="89">
        <f t="shared" si="119"/>
        <v>1917.3932699999998</v>
      </c>
      <c r="P221" s="89">
        <f t="shared" si="120"/>
        <v>0</v>
      </c>
      <c r="Q221" s="91">
        <f t="shared" si="102"/>
        <v>0.35269124269943625</v>
      </c>
      <c r="R221" s="91"/>
      <c r="S221" s="189"/>
    </row>
    <row r="222" ht="23.100000000000001" customHeight="1">
      <c r="A222" s="27"/>
      <c r="B222" s="191" t="s">
        <v>340</v>
      </c>
      <c r="C222" s="185"/>
      <c r="D222" s="141"/>
      <c r="E222" s="90">
        <f t="shared" si="117"/>
        <v>1116.6160499999999</v>
      </c>
      <c r="F222" s="90">
        <v>1102.0999999999999</v>
      </c>
      <c r="G222" s="90">
        <v>14.51605</v>
      </c>
      <c r="H222" s="90"/>
      <c r="I222" s="90"/>
      <c r="J222" s="90"/>
      <c r="K222" s="187">
        <f t="shared" si="118"/>
        <v>0</v>
      </c>
      <c r="L222" s="90"/>
      <c r="M222" s="90"/>
      <c r="N222" s="90"/>
      <c r="O222" s="89">
        <f t="shared" si="119"/>
        <v>1102.0999999999999</v>
      </c>
      <c r="P222" s="89">
        <f t="shared" si="120"/>
        <v>0</v>
      </c>
      <c r="Q222" s="91">
        <f t="shared" si="102"/>
        <v>0</v>
      </c>
      <c r="R222" s="91"/>
      <c r="S222" s="189"/>
    </row>
    <row r="223" ht="23.100000000000001" customHeight="1">
      <c r="A223" s="27"/>
      <c r="B223" s="191" t="s">
        <v>342</v>
      </c>
      <c r="C223" s="185"/>
      <c r="D223" s="141"/>
      <c r="E223" s="90">
        <f t="shared" si="117"/>
        <v>719.12955999999997</v>
      </c>
      <c r="F223" s="90">
        <v>710.5</v>
      </c>
      <c r="G223" s="90">
        <v>8.6295599999999997</v>
      </c>
      <c r="H223" s="187"/>
      <c r="I223" s="178"/>
      <c r="J223" s="90"/>
      <c r="K223" s="187">
        <f t="shared" si="118"/>
        <v>0</v>
      </c>
      <c r="L223" s="158"/>
      <c r="M223" s="187"/>
      <c r="N223" s="187"/>
      <c r="O223" s="89">
        <f t="shared" si="119"/>
        <v>710.5</v>
      </c>
      <c r="P223" s="89">
        <f t="shared" si="120"/>
        <v>0</v>
      </c>
      <c r="Q223" s="91">
        <f t="shared" si="102"/>
        <v>0</v>
      </c>
      <c r="R223" s="91"/>
      <c r="S223" s="189"/>
    </row>
    <row r="224" ht="23.100000000000001" customHeight="1">
      <c r="A224" s="27"/>
      <c r="B224" s="191" t="s">
        <v>343</v>
      </c>
      <c r="C224" s="185"/>
      <c r="D224" s="141"/>
      <c r="E224" s="90">
        <f t="shared" si="117"/>
        <v>13085.00812</v>
      </c>
      <c r="F224" s="90">
        <v>12875.200000000001</v>
      </c>
      <c r="G224" s="90">
        <v>209.80812</v>
      </c>
      <c r="H224" s="187"/>
      <c r="I224" s="178"/>
      <c r="J224" s="90"/>
      <c r="K224" s="187">
        <f t="shared" si="118"/>
        <v>0</v>
      </c>
      <c r="L224" s="158"/>
      <c r="M224" s="187"/>
      <c r="N224" s="187"/>
      <c r="O224" s="89">
        <f t="shared" si="119"/>
        <v>12875.200000000001</v>
      </c>
      <c r="P224" s="89">
        <f t="shared" si="120"/>
        <v>0</v>
      </c>
      <c r="Q224" s="91">
        <f t="shared" si="102"/>
        <v>0</v>
      </c>
      <c r="R224" s="91"/>
      <c r="S224" s="189"/>
    </row>
    <row r="225" ht="23.100000000000001" customHeight="1">
      <c r="A225" s="27"/>
      <c r="B225" s="191" t="s">
        <v>344</v>
      </c>
      <c r="C225" s="185"/>
      <c r="D225" s="141"/>
      <c r="E225" s="90">
        <f t="shared" si="117"/>
        <v>1460.4909400000001</v>
      </c>
      <c r="F225" s="90">
        <v>1426.9000000000001</v>
      </c>
      <c r="G225" s="90">
        <v>33.590940000000003</v>
      </c>
      <c r="H225" s="187"/>
      <c r="I225" s="178"/>
      <c r="J225" s="90"/>
      <c r="K225" s="187">
        <f t="shared" si="118"/>
        <v>0</v>
      </c>
      <c r="L225" s="158"/>
      <c r="M225" s="187"/>
      <c r="N225" s="187"/>
      <c r="O225" s="89">
        <f t="shared" si="119"/>
        <v>1426.9000000000001</v>
      </c>
      <c r="P225" s="89">
        <f t="shared" si="120"/>
        <v>0</v>
      </c>
      <c r="Q225" s="91">
        <f t="shared" si="102"/>
        <v>0</v>
      </c>
      <c r="R225" s="91"/>
      <c r="S225" s="189"/>
    </row>
    <row r="226" ht="23.100000000000001" customHeight="1">
      <c r="A226" s="27"/>
      <c r="B226" s="191" t="s">
        <v>345</v>
      </c>
      <c r="C226" s="185"/>
      <c r="D226" s="141"/>
      <c r="E226" s="90">
        <f t="shared" si="117"/>
        <v>387.68425000000002</v>
      </c>
      <c r="F226" s="90">
        <v>368.30000000000001</v>
      </c>
      <c r="G226" s="90">
        <v>19.384250000000002</v>
      </c>
      <c r="H226" s="187"/>
      <c r="I226" s="178"/>
      <c r="J226" s="90"/>
      <c r="K226" s="187">
        <f t="shared" si="118"/>
        <v>0</v>
      </c>
      <c r="L226" s="158"/>
      <c r="M226" s="187"/>
      <c r="N226" s="187"/>
      <c r="O226" s="89">
        <f t="shared" si="119"/>
        <v>368.30000000000001</v>
      </c>
      <c r="P226" s="89">
        <f t="shared" si="120"/>
        <v>0</v>
      </c>
      <c r="Q226" s="91">
        <f t="shared" si="102"/>
        <v>0</v>
      </c>
      <c r="R226" s="91"/>
      <c r="S226" s="189"/>
    </row>
    <row r="227" ht="23.100000000000001" customHeight="1">
      <c r="A227" s="27"/>
      <c r="B227" s="191" t="s">
        <v>347</v>
      </c>
      <c r="C227" s="185"/>
      <c r="D227" s="141"/>
      <c r="E227" s="90">
        <f t="shared" si="117"/>
        <v>3072.4805500000002</v>
      </c>
      <c r="F227" s="90">
        <v>3016.8000000000002</v>
      </c>
      <c r="G227" s="90">
        <v>55.680549999999997</v>
      </c>
      <c r="H227" s="187"/>
      <c r="I227" s="178"/>
      <c r="J227" s="90"/>
      <c r="K227" s="187">
        <f t="shared" si="118"/>
        <v>0</v>
      </c>
      <c r="L227" s="158"/>
      <c r="M227" s="187"/>
      <c r="N227" s="187"/>
      <c r="O227" s="89">
        <f t="shared" si="119"/>
        <v>3016.8000000000002</v>
      </c>
      <c r="P227" s="89">
        <f t="shared" si="120"/>
        <v>0</v>
      </c>
      <c r="Q227" s="91">
        <f t="shared" si="102"/>
        <v>0</v>
      </c>
      <c r="R227" s="91"/>
      <c r="S227" s="189"/>
    </row>
    <row r="228" ht="23.100000000000001" customHeight="1">
      <c r="A228" s="27"/>
      <c r="B228" s="191" t="s">
        <v>348</v>
      </c>
      <c r="C228" s="185"/>
      <c r="D228" s="141"/>
      <c r="E228" s="90">
        <f t="shared" si="117"/>
        <v>419.52764999999999</v>
      </c>
      <c r="F228" s="90">
        <v>413.89999999999998</v>
      </c>
      <c r="G228" s="90">
        <v>5.62765</v>
      </c>
      <c r="H228" s="187"/>
      <c r="I228" s="178"/>
      <c r="J228" s="90"/>
      <c r="K228" s="187">
        <f t="shared" si="118"/>
        <v>0</v>
      </c>
      <c r="L228" s="158"/>
      <c r="M228" s="187"/>
      <c r="N228" s="187"/>
      <c r="O228" s="89">
        <f t="shared" si="119"/>
        <v>413.89999999999998</v>
      </c>
      <c r="P228" s="89">
        <f t="shared" si="120"/>
        <v>0</v>
      </c>
      <c r="Q228" s="91">
        <f t="shared" si="102"/>
        <v>0</v>
      </c>
      <c r="R228" s="91"/>
      <c r="S228" s="189"/>
    </row>
    <row r="229" ht="23.100000000000001" customHeight="1">
      <c r="A229" s="27"/>
      <c r="B229" s="191" t="s">
        <v>349</v>
      </c>
      <c r="C229" s="185"/>
      <c r="D229" s="141"/>
      <c r="E229" s="90">
        <f t="shared" si="117"/>
        <v>2397.0707199999997</v>
      </c>
      <c r="F229" s="90">
        <v>2373.0999999999999</v>
      </c>
      <c r="G229" s="90">
        <v>23.97072</v>
      </c>
      <c r="H229" s="187"/>
      <c r="I229" s="178"/>
      <c r="J229" s="90"/>
      <c r="K229" s="187">
        <f t="shared" si="118"/>
        <v>44.858600000000003</v>
      </c>
      <c r="L229" s="158">
        <f>43.56</f>
        <v>43.560000000000002</v>
      </c>
      <c r="M229" s="187">
        <v>1.2986</v>
      </c>
      <c r="N229" s="187"/>
      <c r="O229" s="89">
        <f t="shared" si="119"/>
        <v>2329.54</v>
      </c>
      <c r="P229" s="89">
        <f t="shared" si="120"/>
        <v>0</v>
      </c>
      <c r="Q229" s="91">
        <f t="shared" si="102"/>
        <v>0.018355737221356035</v>
      </c>
      <c r="R229" s="91"/>
      <c r="S229" s="189"/>
    </row>
    <row r="230" ht="23.100000000000001" customHeight="1">
      <c r="A230" s="27"/>
      <c r="B230" s="191" t="s">
        <v>350</v>
      </c>
      <c r="C230" s="185"/>
      <c r="D230" s="141"/>
      <c r="E230" s="90">
        <f t="shared" si="117"/>
        <v>900</v>
      </c>
      <c r="F230" s="90">
        <v>883.79999999999995</v>
      </c>
      <c r="G230" s="90">
        <v>16.199999999999999</v>
      </c>
      <c r="H230" s="187"/>
      <c r="I230" s="178"/>
      <c r="J230" s="90"/>
      <c r="K230" s="187">
        <f t="shared" si="118"/>
        <v>0</v>
      </c>
      <c r="L230" s="158"/>
      <c r="M230" s="187"/>
      <c r="N230" s="187"/>
      <c r="O230" s="89">
        <f t="shared" si="119"/>
        <v>883.79999999999995</v>
      </c>
      <c r="P230" s="89">
        <f t="shared" si="120"/>
        <v>0</v>
      </c>
      <c r="Q230" s="91">
        <f t="shared" si="102"/>
        <v>0</v>
      </c>
      <c r="R230" s="91"/>
      <c r="S230" s="189"/>
    </row>
    <row r="231" ht="23.100000000000001" customHeight="1">
      <c r="A231" s="27"/>
      <c r="B231" s="191" t="s">
        <v>352</v>
      </c>
      <c r="C231" s="185"/>
      <c r="D231" s="141"/>
      <c r="E231" s="90">
        <f t="shared" si="117"/>
        <v>1370.0995399999999</v>
      </c>
      <c r="F231" s="90">
        <v>1344</v>
      </c>
      <c r="G231" s="90">
        <v>26.099540000000001</v>
      </c>
      <c r="H231" s="187"/>
      <c r="I231" s="178"/>
      <c r="J231" s="187"/>
      <c r="K231" s="187">
        <f t="shared" si="118"/>
        <v>0</v>
      </c>
      <c r="L231" s="158"/>
      <c r="M231" s="187"/>
      <c r="N231" s="187"/>
      <c r="O231" s="89">
        <f t="shared" si="119"/>
        <v>1344</v>
      </c>
      <c r="P231" s="89">
        <f t="shared" si="120"/>
        <v>0</v>
      </c>
      <c r="Q231" s="91">
        <f t="shared" si="102"/>
        <v>0</v>
      </c>
      <c r="R231" s="91"/>
      <c r="S231" s="189"/>
    </row>
    <row r="232" ht="23.100000000000001" customHeight="1">
      <c r="A232" s="27"/>
      <c r="B232" s="191" t="s">
        <v>353</v>
      </c>
      <c r="C232" s="185"/>
      <c r="D232" s="141"/>
      <c r="E232" s="90">
        <f t="shared" si="117"/>
        <v>2871.9192399999997</v>
      </c>
      <c r="F232" s="90">
        <v>2843.1999999999998</v>
      </c>
      <c r="G232" s="90">
        <v>28.719239999999999</v>
      </c>
      <c r="H232" s="187"/>
      <c r="I232" s="178"/>
      <c r="J232" s="187"/>
      <c r="K232" s="187">
        <f t="shared" si="118"/>
        <v>1157.0159299999998</v>
      </c>
      <c r="L232" s="158">
        <f>1155.5258</f>
        <v>1155.5257999999999</v>
      </c>
      <c r="M232" s="187">
        <v>1.49013</v>
      </c>
      <c r="N232" s="187"/>
      <c r="O232" s="89">
        <f t="shared" si="119"/>
        <v>1687.6741999999999</v>
      </c>
      <c r="P232" s="89">
        <f t="shared" si="120"/>
        <v>0</v>
      </c>
      <c r="Q232" s="91">
        <f t="shared" si="102"/>
        <v>0.40641734665166007</v>
      </c>
      <c r="R232" s="91"/>
      <c r="S232" s="189"/>
    </row>
    <row r="233" ht="23.100000000000001" customHeight="1">
      <c r="A233" s="27"/>
      <c r="B233" s="191" t="s">
        <v>354</v>
      </c>
      <c r="C233" s="185"/>
      <c r="D233" s="141"/>
      <c r="E233" s="90">
        <f t="shared" si="117"/>
        <v>1956.6134199999999</v>
      </c>
      <c r="F233" s="90">
        <v>1565.3</v>
      </c>
      <c r="G233" s="90">
        <v>391.31342000000001</v>
      </c>
      <c r="H233" s="187"/>
      <c r="I233" s="178"/>
      <c r="J233" s="187"/>
      <c r="K233" s="187">
        <f t="shared" si="118"/>
        <v>0</v>
      </c>
      <c r="L233" s="158"/>
      <c r="M233" s="187"/>
      <c r="N233" s="187"/>
      <c r="O233" s="89">
        <f t="shared" si="119"/>
        <v>1565.3</v>
      </c>
      <c r="P233" s="89">
        <f t="shared" si="120"/>
        <v>0</v>
      </c>
      <c r="Q233" s="91">
        <f t="shared" si="102"/>
        <v>0</v>
      </c>
      <c r="R233" s="91"/>
      <c r="S233" s="189"/>
    </row>
    <row r="234" ht="23.100000000000001" customHeight="1">
      <c r="A234" s="27"/>
      <c r="B234" s="191" t="s">
        <v>356</v>
      </c>
      <c r="C234" s="185"/>
      <c r="D234" s="141"/>
      <c r="E234" s="90">
        <f t="shared" si="117"/>
        <v>384.48347000000001</v>
      </c>
      <c r="F234" s="90">
        <v>363.10000000000002</v>
      </c>
      <c r="G234" s="90">
        <v>21.383469999999999</v>
      </c>
      <c r="H234" s="187"/>
      <c r="I234" s="178"/>
      <c r="J234" s="187"/>
      <c r="K234" s="187">
        <f t="shared" si="118"/>
        <v>0</v>
      </c>
      <c r="L234" s="158"/>
      <c r="M234" s="187"/>
      <c r="N234" s="187"/>
      <c r="O234" s="89">
        <f t="shared" si="119"/>
        <v>363.10000000000002</v>
      </c>
      <c r="P234" s="89">
        <f t="shared" si="120"/>
        <v>0</v>
      </c>
      <c r="Q234" s="91">
        <f t="shared" si="102"/>
        <v>0</v>
      </c>
      <c r="R234" s="91"/>
      <c r="S234" s="189"/>
    </row>
    <row r="235" ht="23.100000000000001" customHeight="1">
      <c r="A235" s="27"/>
      <c r="B235" s="191" t="s">
        <v>357</v>
      </c>
      <c r="C235" s="185"/>
      <c r="D235" s="141"/>
      <c r="E235" s="90">
        <f t="shared" si="117"/>
        <v>1108.5020300000001</v>
      </c>
      <c r="F235" s="90">
        <v>1095.2</v>
      </c>
      <c r="G235" s="90">
        <v>13.30203</v>
      </c>
      <c r="H235" s="187"/>
      <c r="I235" s="178"/>
      <c r="J235" s="187"/>
      <c r="K235" s="187">
        <f t="shared" si="118"/>
        <v>134.75</v>
      </c>
      <c r="L235" s="158">
        <f>133.133</f>
        <v>133.13300000000001</v>
      </c>
      <c r="M235" s="187">
        <v>1.617</v>
      </c>
      <c r="N235" s="187"/>
      <c r="O235" s="89">
        <f t="shared" si="119"/>
        <v>962.06700000000001</v>
      </c>
      <c r="P235" s="89">
        <f t="shared" si="120"/>
        <v>0</v>
      </c>
      <c r="Q235" s="91">
        <f t="shared" si="102"/>
        <v>0.12156044558071585</v>
      </c>
      <c r="R235" s="91"/>
      <c r="S235" s="189"/>
    </row>
    <row r="236" ht="23.100000000000001" customHeight="1">
      <c r="A236" s="27"/>
      <c r="B236" s="191" t="s">
        <v>358</v>
      </c>
      <c r="C236" s="185"/>
      <c r="D236" s="141"/>
      <c r="E236" s="90">
        <f t="shared" si="117"/>
        <v>1098.0032900000001</v>
      </c>
      <c r="F236" s="90">
        <v>1083.7</v>
      </c>
      <c r="G236" s="90">
        <v>14.303290000000001</v>
      </c>
      <c r="H236" s="187"/>
      <c r="I236" s="178"/>
      <c r="J236" s="187"/>
      <c r="K236" s="187">
        <f t="shared" si="118"/>
        <v>0</v>
      </c>
      <c r="L236" s="158"/>
      <c r="M236" s="187"/>
      <c r="N236" s="187"/>
      <c r="O236" s="89">
        <f t="shared" si="119"/>
        <v>1083.7</v>
      </c>
      <c r="P236" s="89">
        <f t="shared" si="120"/>
        <v>0</v>
      </c>
      <c r="Q236" s="91">
        <f t="shared" ref="Q236:Q299" si="121">L236/F236</f>
        <v>0</v>
      </c>
      <c r="R236" s="91"/>
      <c r="S236" s="189"/>
    </row>
    <row r="237" ht="23.100000000000001" customHeight="1">
      <c r="A237" s="27"/>
      <c r="B237" s="191" t="s">
        <v>359</v>
      </c>
      <c r="C237" s="185"/>
      <c r="D237" s="141"/>
      <c r="E237" s="90">
        <f t="shared" si="117"/>
        <v>1955.1477500000001</v>
      </c>
      <c r="F237" s="90">
        <v>1918</v>
      </c>
      <c r="G237" s="90">
        <v>37.147750000000002</v>
      </c>
      <c r="H237" s="187"/>
      <c r="I237" s="178"/>
      <c r="J237" s="187"/>
      <c r="K237" s="187">
        <f t="shared" si="118"/>
        <v>0</v>
      </c>
      <c r="L237" s="158"/>
      <c r="M237" s="187"/>
      <c r="N237" s="187"/>
      <c r="O237" s="89">
        <f t="shared" si="119"/>
        <v>1918</v>
      </c>
      <c r="P237" s="89">
        <f t="shared" si="120"/>
        <v>0</v>
      </c>
      <c r="Q237" s="91">
        <f t="shared" si="121"/>
        <v>0</v>
      </c>
      <c r="R237" s="91"/>
      <c r="S237" s="189"/>
    </row>
    <row r="238" ht="23.100000000000001" customHeight="1">
      <c r="A238" s="27"/>
      <c r="B238" s="191" t="s">
        <v>360</v>
      </c>
      <c r="C238" s="185"/>
      <c r="D238" s="141"/>
      <c r="E238" s="90">
        <f t="shared" si="117"/>
        <v>2487.0710300000001</v>
      </c>
      <c r="F238" s="90">
        <v>2457.0999999999999</v>
      </c>
      <c r="G238" s="90">
        <v>29.971029999999999</v>
      </c>
      <c r="H238" s="187"/>
      <c r="I238" s="178"/>
      <c r="J238" s="187"/>
      <c r="K238" s="187">
        <f t="shared" si="118"/>
        <v>0</v>
      </c>
      <c r="L238" s="158"/>
      <c r="M238" s="187"/>
      <c r="N238" s="187"/>
      <c r="O238" s="89">
        <f t="shared" si="119"/>
        <v>2457.0999999999999</v>
      </c>
      <c r="P238" s="89">
        <f t="shared" si="120"/>
        <v>0</v>
      </c>
      <c r="Q238" s="91">
        <f t="shared" si="121"/>
        <v>0</v>
      </c>
      <c r="R238" s="91"/>
      <c r="S238" s="189"/>
    </row>
    <row r="239" ht="23.100000000000001" customHeight="1">
      <c r="A239" s="27"/>
      <c r="B239" s="191" t="s">
        <v>361</v>
      </c>
      <c r="C239" s="185"/>
      <c r="D239" s="141"/>
      <c r="E239" s="90">
        <f t="shared" si="117"/>
        <v>409.94691</v>
      </c>
      <c r="F239" s="90">
        <v>403.89999999999998</v>
      </c>
      <c r="G239" s="90">
        <v>6.0469099999999996</v>
      </c>
      <c r="H239" s="187"/>
      <c r="I239" s="178"/>
      <c r="J239" s="187"/>
      <c r="K239" s="187">
        <f t="shared" si="118"/>
        <v>171.96620999999999</v>
      </c>
      <c r="L239" s="158">
        <f>169.38672</f>
        <v>169.38672</v>
      </c>
      <c r="M239" s="187">
        <v>2.5794899999999998</v>
      </c>
      <c r="N239" s="187"/>
      <c r="O239" s="89">
        <f t="shared" si="119"/>
        <v>234.51327999999998</v>
      </c>
      <c r="P239" s="89">
        <f t="shared" si="120"/>
        <v>0</v>
      </c>
      <c r="Q239" s="91">
        <f t="shared" si="121"/>
        <v>0.41937786580836844</v>
      </c>
      <c r="R239" s="91"/>
      <c r="S239" s="189"/>
    </row>
    <row r="240" ht="67.5" customHeight="1">
      <c r="A240" s="27"/>
      <c r="B240" s="180" t="s">
        <v>376</v>
      </c>
      <c r="C240" s="181"/>
      <c r="D240" s="181"/>
      <c r="E240" s="171">
        <f>E241</f>
        <v>598481.53000000003</v>
      </c>
      <c r="F240" s="171">
        <f t="shared" ref="F240:P242" si="122">F241</f>
        <v>598481.53000000003</v>
      </c>
      <c r="G240" s="171">
        <f t="shared" si="122"/>
        <v>0</v>
      </c>
      <c r="H240" s="171">
        <f t="shared" si="122"/>
        <v>0</v>
      </c>
      <c r="I240" s="171">
        <f t="shared" si="122"/>
        <v>0</v>
      </c>
      <c r="J240" s="171">
        <f t="shared" si="122"/>
        <v>0</v>
      </c>
      <c r="K240" s="171">
        <f t="shared" si="122"/>
        <v>0</v>
      </c>
      <c r="L240" s="171">
        <f t="shared" si="122"/>
        <v>0</v>
      </c>
      <c r="M240" s="171">
        <f t="shared" si="122"/>
        <v>0</v>
      </c>
      <c r="N240" s="171">
        <f t="shared" si="122"/>
        <v>0</v>
      </c>
      <c r="O240" s="171">
        <f t="shared" si="122"/>
        <v>598481.53000000003</v>
      </c>
      <c r="P240" s="171">
        <f t="shared" si="122"/>
        <v>0</v>
      </c>
      <c r="Q240" s="172">
        <f t="shared" si="121"/>
        <v>0</v>
      </c>
      <c r="R240" s="172"/>
      <c r="S240" s="192"/>
    </row>
    <row r="241" ht="144.75" customHeight="1">
      <c r="A241" s="27"/>
      <c r="B241" s="193" t="s">
        <v>377</v>
      </c>
      <c r="C241" s="30"/>
      <c r="D241" s="136" t="s">
        <v>378</v>
      </c>
      <c r="E241" s="90">
        <f>F241+G241+H241</f>
        <v>598481.53000000003</v>
      </c>
      <c r="F241" s="90">
        <v>598481.53000000003</v>
      </c>
      <c r="G241" s="90"/>
      <c r="H241" s="90"/>
      <c r="I241" s="90"/>
      <c r="J241" s="90"/>
      <c r="K241" s="90">
        <f>L241+M241+N241</f>
        <v>0</v>
      </c>
      <c r="L241" s="90"/>
      <c r="M241" s="90"/>
      <c r="N241" s="90"/>
      <c r="O241" s="90">
        <f>F241-L241</f>
        <v>598481.53000000003</v>
      </c>
      <c r="P241" s="90">
        <f>H241-N241</f>
        <v>0</v>
      </c>
      <c r="Q241" s="91">
        <f t="shared" si="121"/>
        <v>0</v>
      </c>
      <c r="R241" s="91"/>
      <c r="S241" s="189"/>
    </row>
    <row r="242" ht="52.5" customHeight="1">
      <c r="A242" s="27"/>
      <c r="B242" s="168" t="s">
        <v>379</v>
      </c>
      <c r="C242" s="194"/>
      <c r="D242" s="195"/>
      <c r="E242" s="171">
        <f>E243</f>
        <v>685000</v>
      </c>
      <c r="F242" s="171">
        <f t="shared" si="122"/>
        <v>685000</v>
      </c>
      <c r="G242" s="171">
        <f t="shared" si="122"/>
        <v>0</v>
      </c>
      <c r="H242" s="171">
        <f t="shared" si="122"/>
        <v>0</v>
      </c>
      <c r="I242" s="171">
        <f t="shared" si="122"/>
        <v>0</v>
      </c>
      <c r="J242" s="171">
        <f t="shared" si="122"/>
        <v>0</v>
      </c>
      <c r="K242" s="171">
        <f t="shared" si="122"/>
        <v>0</v>
      </c>
      <c r="L242" s="171">
        <f t="shared" si="122"/>
        <v>0</v>
      </c>
      <c r="M242" s="171">
        <f t="shared" si="122"/>
        <v>0</v>
      </c>
      <c r="N242" s="171">
        <f t="shared" si="122"/>
        <v>0</v>
      </c>
      <c r="O242" s="171">
        <f t="shared" si="122"/>
        <v>685000</v>
      </c>
      <c r="P242" s="171">
        <f t="shared" si="122"/>
        <v>0</v>
      </c>
      <c r="Q242" s="172">
        <f t="shared" si="121"/>
        <v>0</v>
      </c>
      <c r="R242" s="172"/>
      <c r="S242" s="192"/>
    </row>
    <row r="243" ht="90.75" customHeight="1">
      <c r="A243" s="27"/>
      <c r="B243" s="193" t="s">
        <v>380</v>
      </c>
      <c r="C243" s="30"/>
      <c r="D243" s="136"/>
      <c r="E243" s="90">
        <f>E244+E245</f>
        <v>685000</v>
      </c>
      <c r="F243" s="90">
        <f t="shared" ref="F243:P243" si="123">F244+F245</f>
        <v>685000</v>
      </c>
      <c r="G243" s="90">
        <f t="shared" si="123"/>
        <v>0</v>
      </c>
      <c r="H243" s="90">
        <f t="shared" si="123"/>
        <v>0</v>
      </c>
      <c r="I243" s="90">
        <f t="shared" si="123"/>
        <v>0</v>
      </c>
      <c r="J243" s="90">
        <f t="shared" si="123"/>
        <v>0</v>
      </c>
      <c r="K243" s="90">
        <f>K244+K245</f>
        <v>0</v>
      </c>
      <c r="L243" s="90">
        <f t="shared" si="123"/>
        <v>0</v>
      </c>
      <c r="M243" s="90">
        <f t="shared" si="123"/>
        <v>0</v>
      </c>
      <c r="N243" s="90">
        <f t="shared" si="123"/>
        <v>0</v>
      </c>
      <c r="O243" s="90">
        <f>O244+O245</f>
        <v>685000</v>
      </c>
      <c r="P243" s="90">
        <f t="shared" si="123"/>
        <v>0</v>
      </c>
      <c r="Q243" s="91">
        <f t="shared" si="121"/>
        <v>0</v>
      </c>
      <c r="R243" s="91"/>
      <c r="S243" s="189"/>
    </row>
    <row r="244" ht="112.5" customHeight="1">
      <c r="A244" s="27"/>
      <c r="B244" s="196" t="s">
        <v>381</v>
      </c>
      <c r="C244" s="30"/>
      <c r="D244" s="136" t="s">
        <v>382</v>
      </c>
      <c r="E244" s="90">
        <f t="shared" ref="E244:E245" si="124">F244+G244+H244</f>
        <v>550000</v>
      </c>
      <c r="F244" s="90">
        <v>550000</v>
      </c>
      <c r="G244" s="90"/>
      <c r="H244" s="90"/>
      <c r="I244" s="90"/>
      <c r="J244" s="90"/>
      <c r="K244" s="90">
        <f t="shared" ref="K244:K245" si="125">L244+M244+N244</f>
        <v>0</v>
      </c>
      <c r="L244" s="90"/>
      <c r="M244" s="90"/>
      <c r="N244" s="90"/>
      <c r="O244" s="90">
        <f t="shared" ref="O244:O245" si="126">F244-L244</f>
        <v>550000</v>
      </c>
      <c r="P244" s="90">
        <f t="shared" ref="P244:P245" si="127">H244-N244</f>
        <v>0</v>
      </c>
      <c r="Q244" s="91"/>
      <c r="R244" s="91"/>
      <c r="S244" s="189"/>
    </row>
    <row r="245" ht="111.75" customHeight="1">
      <c r="A245" s="27"/>
      <c r="B245" s="196" t="s">
        <v>383</v>
      </c>
      <c r="C245" s="30"/>
      <c r="D245" s="136" t="s">
        <v>384</v>
      </c>
      <c r="E245" s="90">
        <f t="shared" si="124"/>
        <v>135000</v>
      </c>
      <c r="F245" s="90">
        <v>135000</v>
      </c>
      <c r="G245" s="90"/>
      <c r="H245" s="90"/>
      <c r="I245" s="90"/>
      <c r="J245" s="90"/>
      <c r="K245" s="90">
        <f t="shared" si="125"/>
        <v>0</v>
      </c>
      <c r="L245" s="90"/>
      <c r="M245" s="90"/>
      <c r="N245" s="90"/>
      <c r="O245" s="90">
        <f t="shared" si="126"/>
        <v>135000</v>
      </c>
      <c r="P245" s="90">
        <f t="shared" si="127"/>
        <v>0</v>
      </c>
      <c r="Q245" s="91">
        <f t="shared" si="121"/>
        <v>0</v>
      </c>
      <c r="R245" s="91"/>
      <c r="S245" s="189"/>
    </row>
    <row r="246" ht="69" customHeight="1">
      <c r="A246" s="27"/>
      <c r="B246" s="180" t="s">
        <v>385</v>
      </c>
      <c r="C246" s="181"/>
      <c r="D246" s="181"/>
      <c r="E246" s="171">
        <f>E247+E251</f>
        <v>108381.10500000001</v>
      </c>
      <c r="F246" s="171">
        <f t="shared" ref="F246:P246" si="128">F247+F251</f>
        <v>103191.10500000001</v>
      </c>
      <c r="G246" s="171">
        <f t="shared" si="128"/>
        <v>5190</v>
      </c>
      <c r="H246" s="171">
        <f t="shared" si="128"/>
        <v>0</v>
      </c>
      <c r="I246" s="171">
        <f t="shared" si="128"/>
        <v>0</v>
      </c>
      <c r="J246" s="171">
        <f t="shared" si="128"/>
        <v>0</v>
      </c>
      <c r="K246" s="171">
        <f t="shared" si="128"/>
        <v>200</v>
      </c>
      <c r="L246" s="171">
        <f t="shared" si="128"/>
        <v>200</v>
      </c>
      <c r="M246" s="171">
        <f t="shared" si="128"/>
        <v>0</v>
      </c>
      <c r="N246" s="171">
        <f t="shared" si="128"/>
        <v>0</v>
      </c>
      <c r="O246" s="171">
        <f t="shared" si="128"/>
        <v>102991.10500000001</v>
      </c>
      <c r="P246" s="171">
        <f t="shared" si="128"/>
        <v>0</v>
      </c>
      <c r="Q246" s="172">
        <f t="shared" si="121"/>
        <v>0.0019381515490119036</v>
      </c>
      <c r="R246" s="172"/>
      <c r="S246" s="192"/>
    </row>
    <row r="247" ht="56.25" customHeight="1">
      <c r="A247" s="27"/>
      <c r="B247" s="197" t="s">
        <v>386</v>
      </c>
      <c r="C247" s="141"/>
      <c r="D247" s="136" t="s">
        <v>387</v>
      </c>
      <c r="E247" s="90">
        <f>E248+E249+E250</f>
        <v>103558.60000000001</v>
      </c>
      <c r="F247" s="90">
        <f t="shared" ref="F247:N247" si="129">F248+F249+F250</f>
        <v>98368.600000000006</v>
      </c>
      <c r="G247" s="90">
        <f t="shared" si="129"/>
        <v>5190</v>
      </c>
      <c r="H247" s="90">
        <f t="shared" si="129"/>
        <v>0</v>
      </c>
      <c r="I247" s="90">
        <f t="shared" si="129"/>
        <v>0</v>
      </c>
      <c r="J247" s="90">
        <f t="shared" si="129"/>
        <v>0</v>
      </c>
      <c r="K247" s="90">
        <f>K248+K249+K250</f>
        <v>0</v>
      </c>
      <c r="L247" s="90">
        <f t="shared" si="129"/>
        <v>0</v>
      </c>
      <c r="M247" s="90">
        <f t="shared" si="129"/>
        <v>0</v>
      </c>
      <c r="N247" s="90">
        <f t="shared" si="129"/>
        <v>0</v>
      </c>
      <c r="O247" s="90">
        <f>O248+O249+O250</f>
        <v>98368.600000000006</v>
      </c>
      <c r="P247" s="90">
        <f>P248+P249+P250</f>
        <v>0</v>
      </c>
      <c r="Q247" s="91">
        <f t="shared" si="121"/>
        <v>0</v>
      </c>
      <c r="R247" s="91"/>
      <c r="S247" s="189"/>
    </row>
    <row r="248" ht="48" customHeight="1">
      <c r="A248" s="27"/>
      <c r="B248" s="198" t="s">
        <v>388</v>
      </c>
      <c r="C248" s="141"/>
      <c r="D248" s="136"/>
      <c r="E248" s="90">
        <f t="shared" ref="E248:E251" si="130">F248+G248</f>
        <v>13506</v>
      </c>
      <c r="F248" s="90">
        <v>12826</v>
      </c>
      <c r="G248" s="90">
        <v>680</v>
      </c>
      <c r="H248" s="90"/>
      <c r="I248" s="90"/>
      <c r="J248" s="90"/>
      <c r="K248" s="90">
        <f t="shared" ref="K248:K251" si="131">L248+M248+N248</f>
        <v>0</v>
      </c>
      <c r="L248" s="187"/>
      <c r="M248" s="90"/>
      <c r="N248" s="90"/>
      <c r="O248" s="89">
        <f t="shared" ref="O248:O251" si="132">F248-L248</f>
        <v>12826</v>
      </c>
      <c r="P248" s="89">
        <f t="shared" ref="P248:P251" si="133">H248-N248</f>
        <v>0</v>
      </c>
      <c r="Q248" s="91">
        <f t="shared" si="121"/>
        <v>0</v>
      </c>
      <c r="R248" s="91"/>
      <c r="S248" s="189"/>
    </row>
    <row r="249" ht="50.25" customHeight="1">
      <c r="A249" s="27"/>
      <c r="B249" s="198" t="s">
        <v>389</v>
      </c>
      <c r="C249" s="141"/>
      <c r="D249" s="136"/>
      <c r="E249" s="90">
        <f t="shared" si="130"/>
        <v>57312.599999999999</v>
      </c>
      <c r="F249" s="90">
        <v>54442.599999999999</v>
      </c>
      <c r="G249" s="90">
        <v>2870</v>
      </c>
      <c r="H249" s="90"/>
      <c r="I249" s="90"/>
      <c r="J249" s="90"/>
      <c r="K249" s="90">
        <f t="shared" si="131"/>
        <v>0</v>
      </c>
      <c r="L249" s="90"/>
      <c r="M249" s="90"/>
      <c r="N249" s="90"/>
      <c r="O249" s="89">
        <f t="shared" si="132"/>
        <v>54442.599999999999</v>
      </c>
      <c r="P249" s="89">
        <f t="shared" si="133"/>
        <v>0</v>
      </c>
      <c r="Q249" s="91">
        <f t="shared" si="121"/>
        <v>0</v>
      </c>
      <c r="R249" s="91"/>
      <c r="S249" s="189"/>
    </row>
    <row r="250" ht="51.75" customHeight="1">
      <c r="A250" s="27"/>
      <c r="B250" s="198" t="s">
        <v>390</v>
      </c>
      <c r="C250" s="141"/>
      <c r="D250" s="136"/>
      <c r="E250" s="90">
        <f t="shared" si="130"/>
        <v>32740</v>
      </c>
      <c r="F250" s="90">
        <v>31100</v>
      </c>
      <c r="G250" s="90">
        <v>1640</v>
      </c>
      <c r="H250" s="90"/>
      <c r="I250" s="90"/>
      <c r="J250" s="90"/>
      <c r="K250" s="90">
        <f t="shared" si="131"/>
        <v>0</v>
      </c>
      <c r="L250" s="90"/>
      <c r="M250" s="90"/>
      <c r="N250" s="90"/>
      <c r="O250" s="89">
        <f t="shared" si="132"/>
        <v>31100</v>
      </c>
      <c r="P250" s="89">
        <f t="shared" si="133"/>
        <v>0</v>
      </c>
      <c r="Q250" s="91">
        <f t="shared" si="121"/>
        <v>0</v>
      </c>
      <c r="R250" s="91"/>
      <c r="S250" s="189"/>
    </row>
    <row r="251" ht="45" customHeight="1">
      <c r="A251" s="27"/>
      <c r="B251" s="190" t="s">
        <v>391</v>
      </c>
      <c r="C251" s="141"/>
      <c r="D251" s="136"/>
      <c r="E251" s="90">
        <f t="shared" si="130"/>
        <v>4822.5050000000001</v>
      </c>
      <c r="F251" s="90">
        <v>4822.5050000000001</v>
      </c>
      <c r="G251" s="199"/>
      <c r="H251" s="90"/>
      <c r="I251" s="90"/>
      <c r="J251" s="90"/>
      <c r="K251" s="90">
        <f t="shared" si="131"/>
        <v>200</v>
      </c>
      <c r="L251" s="90">
        <f>200</f>
        <v>200</v>
      </c>
      <c r="M251" s="90"/>
      <c r="N251" s="90"/>
      <c r="O251" s="89">
        <f t="shared" si="132"/>
        <v>4622.5050000000001</v>
      </c>
      <c r="P251" s="89">
        <f t="shared" si="133"/>
        <v>0</v>
      </c>
      <c r="Q251" s="91">
        <f t="shared" si="121"/>
        <v>0.041472222423823306</v>
      </c>
      <c r="R251" s="91"/>
      <c r="S251" s="189"/>
    </row>
    <row r="252" ht="68.25" customHeight="1">
      <c r="A252" s="27"/>
      <c r="B252" s="180" t="s">
        <v>392</v>
      </c>
      <c r="C252" s="181"/>
      <c r="D252" s="195"/>
      <c r="E252" s="171">
        <f t="shared" ref="E252:P252" si="134">E253+E262</f>
        <v>81352.811499999996</v>
      </c>
      <c r="F252" s="171">
        <f t="shared" si="134"/>
        <v>81352.811499999996</v>
      </c>
      <c r="G252" s="171">
        <f t="shared" si="134"/>
        <v>0</v>
      </c>
      <c r="H252" s="171">
        <f t="shared" si="134"/>
        <v>0</v>
      </c>
      <c r="I252" s="171">
        <f t="shared" si="134"/>
        <v>0</v>
      </c>
      <c r="J252" s="171">
        <f t="shared" si="134"/>
        <v>0</v>
      </c>
      <c r="K252" s="171">
        <f t="shared" si="134"/>
        <v>0</v>
      </c>
      <c r="L252" s="171">
        <f t="shared" si="134"/>
        <v>0</v>
      </c>
      <c r="M252" s="171">
        <f t="shared" si="134"/>
        <v>0</v>
      </c>
      <c r="N252" s="171">
        <f t="shared" si="134"/>
        <v>0</v>
      </c>
      <c r="O252" s="171">
        <f t="shared" si="134"/>
        <v>81352.811499999996</v>
      </c>
      <c r="P252" s="171">
        <f t="shared" si="134"/>
        <v>0</v>
      </c>
      <c r="Q252" s="172">
        <f t="shared" si="121"/>
        <v>0</v>
      </c>
      <c r="R252" s="172"/>
      <c r="S252" s="192"/>
    </row>
    <row r="253" ht="56.25" customHeight="1">
      <c r="A253" s="27"/>
      <c r="B253" s="200" t="s">
        <v>393</v>
      </c>
      <c r="C253" s="141"/>
      <c r="D253" s="136" t="s">
        <v>334</v>
      </c>
      <c r="E253" s="90">
        <f>SUM(E254:E261)</f>
        <v>73900</v>
      </c>
      <c r="F253" s="90">
        <f t="shared" ref="F253:P253" si="135">SUM(F254:F261)</f>
        <v>73900</v>
      </c>
      <c r="G253" s="90">
        <f t="shared" si="135"/>
        <v>0</v>
      </c>
      <c r="H253" s="90">
        <f t="shared" si="135"/>
        <v>0</v>
      </c>
      <c r="I253" s="90">
        <f t="shared" si="135"/>
        <v>0</v>
      </c>
      <c r="J253" s="90">
        <f t="shared" si="135"/>
        <v>0</v>
      </c>
      <c r="K253" s="90">
        <f t="shared" si="135"/>
        <v>0</v>
      </c>
      <c r="L253" s="90">
        <f t="shared" si="135"/>
        <v>0</v>
      </c>
      <c r="M253" s="90">
        <f t="shared" si="135"/>
        <v>0</v>
      </c>
      <c r="N253" s="90">
        <f t="shared" si="135"/>
        <v>0</v>
      </c>
      <c r="O253" s="90">
        <f t="shared" si="135"/>
        <v>73900</v>
      </c>
      <c r="P253" s="90">
        <f t="shared" si="135"/>
        <v>0</v>
      </c>
      <c r="Q253" s="91">
        <f t="shared" si="121"/>
        <v>0</v>
      </c>
      <c r="R253" s="91"/>
      <c r="S253" s="189"/>
    </row>
    <row r="254" ht="23.100000000000001" customHeight="1">
      <c r="A254" s="27"/>
      <c r="B254" s="179" t="s">
        <v>335</v>
      </c>
      <c r="C254" s="141"/>
      <c r="D254" s="136"/>
      <c r="E254" s="90">
        <f t="shared" ref="E254:E262" si="136">F254+G254</f>
        <v>4800</v>
      </c>
      <c r="F254" s="90">
        <v>4800</v>
      </c>
      <c r="G254" s="90"/>
      <c r="H254" s="90"/>
      <c r="I254" s="90"/>
      <c r="J254" s="90"/>
      <c r="K254" s="90">
        <f t="shared" ref="K254:K262" si="137">L254+M254+N254</f>
        <v>0</v>
      </c>
      <c r="L254" s="90"/>
      <c r="M254" s="90"/>
      <c r="N254" s="90"/>
      <c r="O254" s="89">
        <f t="shared" ref="O254:O262" si="138">F254-L254</f>
        <v>4800</v>
      </c>
      <c r="P254" s="89">
        <f t="shared" ref="P254:P262" si="139">H254-N254</f>
        <v>0</v>
      </c>
      <c r="Q254" s="91">
        <f t="shared" si="121"/>
        <v>0</v>
      </c>
      <c r="R254" s="91"/>
      <c r="S254" s="189"/>
    </row>
    <row r="255" ht="23.100000000000001" customHeight="1">
      <c r="A255" s="27"/>
      <c r="B255" s="179" t="s">
        <v>343</v>
      </c>
      <c r="C255" s="141"/>
      <c r="D255" s="136"/>
      <c r="E255" s="90">
        <f t="shared" si="136"/>
        <v>15400</v>
      </c>
      <c r="F255" s="90">
        <v>15400</v>
      </c>
      <c r="G255" s="90"/>
      <c r="H255" s="90"/>
      <c r="I255" s="90"/>
      <c r="J255" s="90"/>
      <c r="K255" s="90">
        <f t="shared" si="137"/>
        <v>0</v>
      </c>
      <c r="L255" s="90"/>
      <c r="M255" s="90"/>
      <c r="N255" s="90"/>
      <c r="O255" s="89">
        <f t="shared" si="138"/>
        <v>15400</v>
      </c>
      <c r="P255" s="89">
        <f t="shared" si="139"/>
        <v>0</v>
      </c>
      <c r="Q255" s="91">
        <f t="shared" si="121"/>
        <v>0</v>
      </c>
      <c r="R255" s="91"/>
      <c r="S255" s="201"/>
    </row>
    <row r="256" ht="23.100000000000001" customHeight="1">
      <c r="A256" s="27"/>
      <c r="B256" s="179" t="s">
        <v>344</v>
      </c>
      <c r="C256" s="141"/>
      <c r="D256" s="136"/>
      <c r="E256" s="90">
        <f t="shared" si="136"/>
        <v>11100</v>
      </c>
      <c r="F256" s="90">
        <v>11100</v>
      </c>
      <c r="G256" s="90"/>
      <c r="H256" s="90"/>
      <c r="I256" s="90"/>
      <c r="J256" s="90"/>
      <c r="K256" s="90">
        <f t="shared" si="137"/>
        <v>0</v>
      </c>
      <c r="L256" s="90"/>
      <c r="M256" s="90"/>
      <c r="N256" s="90"/>
      <c r="O256" s="89">
        <f t="shared" si="138"/>
        <v>11100</v>
      </c>
      <c r="P256" s="89">
        <f t="shared" si="139"/>
        <v>0</v>
      </c>
      <c r="Q256" s="91">
        <f t="shared" si="121"/>
        <v>0</v>
      </c>
      <c r="R256" s="91"/>
      <c r="S256" s="201"/>
    </row>
    <row r="257" ht="23.100000000000001" customHeight="1">
      <c r="A257" s="27"/>
      <c r="B257" s="179" t="s">
        <v>346</v>
      </c>
      <c r="C257" s="141"/>
      <c r="D257" s="136"/>
      <c r="E257" s="90">
        <f t="shared" si="136"/>
        <v>10100</v>
      </c>
      <c r="F257" s="90">
        <v>10100</v>
      </c>
      <c r="G257" s="90"/>
      <c r="H257" s="90"/>
      <c r="I257" s="90"/>
      <c r="J257" s="90"/>
      <c r="K257" s="90">
        <f t="shared" si="137"/>
        <v>0</v>
      </c>
      <c r="L257" s="90"/>
      <c r="M257" s="90"/>
      <c r="N257" s="90"/>
      <c r="O257" s="89">
        <f t="shared" si="138"/>
        <v>10100</v>
      </c>
      <c r="P257" s="89">
        <f t="shared" si="139"/>
        <v>0</v>
      </c>
      <c r="Q257" s="91">
        <f t="shared" si="121"/>
        <v>0</v>
      </c>
      <c r="R257" s="91"/>
      <c r="S257" s="201"/>
    </row>
    <row r="258" ht="23.100000000000001" customHeight="1">
      <c r="A258" s="27"/>
      <c r="B258" s="179" t="s">
        <v>348</v>
      </c>
      <c r="C258" s="141"/>
      <c r="D258" s="141"/>
      <c r="E258" s="90">
        <f t="shared" si="136"/>
        <v>6500</v>
      </c>
      <c r="F258" s="90">
        <v>6500</v>
      </c>
      <c r="G258" s="90"/>
      <c r="H258" s="178"/>
      <c r="I258" s="178"/>
      <c r="J258" s="90"/>
      <c r="K258" s="90">
        <f t="shared" si="137"/>
        <v>0</v>
      </c>
      <c r="L258" s="90"/>
      <c r="M258" s="90"/>
      <c r="N258" s="90"/>
      <c r="O258" s="89">
        <f t="shared" si="138"/>
        <v>6500</v>
      </c>
      <c r="P258" s="89">
        <f t="shared" si="139"/>
        <v>0</v>
      </c>
      <c r="Q258" s="91">
        <f t="shared" si="121"/>
        <v>0</v>
      </c>
      <c r="R258" s="91"/>
      <c r="S258" s="201"/>
    </row>
    <row r="259" ht="23.100000000000001" customHeight="1">
      <c r="A259" s="27"/>
      <c r="B259" s="179" t="s">
        <v>359</v>
      </c>
      <c r="C259" s="141"/>
      <c r="D259" s="141"/>
      <c r="E259" s="90">
        <f t="shared" si="136"/>
        <v>10700</v>
      </c>
      <c r="F259" s="90">
        <v>10700</v>
      </c>
      <c r="G259" s="90"/>
      <c r="H259" s="178"/>
      <c r="I259" s="178"/>
      <c r="J259" s="90"/>
      <c r="K259" s="90">
        <f t="shared" si="137"/>
        <v>0</v>
      </c>
      <c r="L259" s="90"/>
      <c r="M259" s="90"/>
      <c r="N259" s="90"/>
      <c r="O259" s="89">
        <f t="shared" si="138"/>
        <v>10700</v>
      </c>
      <c r="P259" s="89">
        <f t="shared" si="139"/>
        <v>0</v>
      </c>
      <c r="Q259" s="91">
        <f t="shared" si="121"/>
        <v>0</v>
      </c>
      <c r="R259" s="91"/>
      <c r="S259" s="201"/>
    </row>
    <row r="260" ht="23.100000000000001" customHeight="1">
      <c r="A260" s="27"/>
      <c r="B260" s="179" t="s">
        <v>360</v>
      </c>
      <c r="C260" s="141"/>
      <c r="D260" s="141"/>
      <c r="E260" s="90">
        <f t="shared" si="136"/>
        <v>10200</v>
      </c>
      <c r="F260" s="90">
        <v>10200</v>
      </c>
      <c r="G260" s="90"/>
      <c r="H260" s="178"/>
      <c r="I260" s="178"/>
      <c r="J260" s="90"/>
      <c r="K260" s="90">
        <f t="shared" si="137"/>
        <v>0</v>
      </c>
      <c r="L260" s="90"/>
      <c r="M260" s="90"/>
      <c r="N260" s="90"/>
      <c r="O260" s="89">
        <f t="shared" si="138"/>
        <v>10200</v>
      </c>
      <c r="P260" s="89">
        <f t="shared" si="139"/>
        <v>0</v>
      </c>
      <c r="Q260" s="91">
        <f t="shared" si="121"/>
        <v>0</v>
      </c>
      <c r="R260" s="91"/>
      <c r="S260" s="201"/>
    </row>
    <row r="261" ht="23.100000000000001" customHeight="1">
      <c r="A261" s="27"/>
      <c r="B261" s="179" t="s">
        <v>361</v>
      </c>
      <c r="C261" s="141"/>
      <c r="D261" s="141"/>
      <c r="E261" s="90">
        <f t="shared" si="136"/>
        <v>5100</v>
      </c>
      <c r="F261" s="90">
        <v>5100</v>
      </c>
      <c r="G261" s="90"/>
      <c r="H261" s="178"/>
      <c r="I261" s="178"/>
      <c r="J261" s="90"/>
      <c r="K261" s="90">
        <f t="shared" si="137"/>
        <v>0</v>
      </c>
      <c r="L261" s="90"/>
      <c r="M261" s="90"/>
      <c r="N261" s="90"/>
      <c r="O261" s="89">
        <f t="shared" si="138"/>
        <v>5100</v>
      </c>
      <c r="P261" s="89">
        <f t="shared" si="139"/>
        <v>0</v>
      </c>
      <c r="Q261" s="91">
        <f t="shared" si="121"/>
        <v>0</v>
      </c>
      <c r="R261" s="91"/>
      <c r="S261" s="201"/>
    </row>
    <row r="262" ht="56.25" customHeight="1">
      <c r="A262" s="27"/>
      <c r="B262" s="202" t="s">
        <v>394</v>
      </c>
      <c r="C262" s="141"/>
      <c r="D262" s="141"/>
      <c r="E262" s="90">
        <f t="shared" si="136"/>
        <v>7452.8114999999998</v>
      </c>
      <c r="F262" s="90">
        <v>7452.8114999999998</v>
      </c>
      <c r="G262" s="90"/>
      <c r="H262" s="178"/>
      <c r="I262" s="178"/>
      <c r="J262" s="90"/>
      <c r="K262" s="90">
        <f t="shared" si="137"/>
        <v>0</v>
      </c>
      <c r="L262" s="90"/>
      <c r="M262" s="90"/>
      <c r="N262" s="90"/>
      <c r="O262" s="89">
        <f t="shared" si="138"/>
        <v>7452.8114999999998</v>
      </c>
      <c r="P262" s="89">
        <f t="shared" si="139"/>
        <v>0</v>
      </c>
      <c r="Q262" s="91">
        <f t="shared" si="121"/>
        <v>0</v>
      </c>
      <c r="R262" s="91"/>
      <c r="S262" s="201"/>
    </row>
    <row r="263" ht="72.75" customHeight="1">
      <c r="A263" s="27"/>
      <c r="B263" s="203" t="s">
        <v>395</v>
      </c>
      <c r="C263" s="181"/>
      <c r="D263" s="195"/>
      <c r="E263" s="171">
        <f t="shared" ref="E263:P263" si="140">E264+E281</f>
        <v>975512.67289000005</v>
      </c>
      <c r="F263" s="171">
        <f t="shared" si="140"/>
        <v>902028.52767999994</v>
      </c>
      <c r="G263" s="171">
        <f t="shared" si="140"/>
        <v>73484.145209999988</v>
      </c>
      <c r="H263" s="171">
        <f t="shared" si="140"/>
        <v>0</v>
      </c>
      <c r="I263" s="171">
        <f t="shared" si="140"/>
        <v>0</v>
      </c>
      <c r="J263" s="171">
        <f t="shared" si="140"/>
        <v>14164.464260000002</v>
      </c>
      <c r="K263" s="171">
        <f t="shared" si="140"/>
        <v>14164.464260000002</v>
      </c>
      <c r="L263" s="171">
        <f t="shared" si="140"/>
        <v>13846.048610000002</v>
      </c>
      <c r="M263" s="171">
        <f t="shared" si="140"/>
        <v>318.41565000000003</v>
      </c>
      <c r="N263" s="171">
        <f t="shared" si="140"/>
        <v>0</v>
      </c>
      <c r="O263" s="171">
        <f t="shared" si="140"/>
        <v>888182.47906999988</v>
      </c>
      <c r="P263" s="171">
        <f t="shared" si="140"/>
        <v>0</v>
      </c>
      <c r="Q263" s="172">
        <f t="shared" si="121"/>
        <v>0.015349901012124054</v>
      </c>
      <c r="R263" s="172"/>
      <c r="S263" s="192"/>
    </row>
    <row r="264" ht="46.5" customHeight="1">
      <c r="A264" s="27"/>
      <c r="B264" s="204" t="s">
        <v>396</v>
      </c>
      <c r="C264" s="141"/>
      <c r="D264" s="136" t="s">
        <v>334</v>
      </c>
      <c r="E264" s="90">
        <f>SUM(E265:E280)</f>
        <v>848239.12730000005</v>
      </c>
      <c r="F264" s="90">
        <f t="shared" ref="F264:P264" si="141">SUM(F265:F280)</f>
        <v>774754.98208999995</v>
      </c>
      <c r="G264" s="90">
        <f t="shared" si="141"/>
        <v>73484.145209999988</v>
      </c>
      <c r="H264" s="90">
        <f t="shared" si="141"/>
        <v>0</v>
      </c>
      <c r="I264" s="90">
        <f t="shared" si="141"/>
        <v>0</v>
      </c>
      <c r="J264" s="90">
        <f t="shared" si="141"/>
        <v>12568.116200000002</v>
      </c>
      <c r="K264" s="90">
        <f t="shared" si="141"/>
        <v>12568.116200000002</v>
      </c>
      <c r="L264" s="90">
        <f t="shared" si="141"/>
        <v>12249.700550000001</v>
      </c>
      <c r="M264" s="90">
        <f t="shared" si="141"/>
        <v>318.41565000000003</v>
      </c>
      <c r="N264" s="90">
        <f t="shared" si="141"/>
        <v>0</v>
      </c>
      <c r="O264" s="90">
        <f t="shared" si="141"/>
        <v>762505.28153999988</v>
      </c>
      <c r="P264" s="90">
        <f t="shared" si="141"/>
        <v>0</v>
      </c>
      <c r="Q264" s="91">
        <f t="shared" si="121"/>
        <v>0.015811063927533422</v>
      </c>
      <c r="R264" s="91"/>
      <c r="S264" s="189"/>
    </row>
    <row r="265" ht="23.100000000000001" customHeight="1">
      <c r="A265" s="27"/>
      <c r="B265" s="179" t="s">
        <v>335</v>
      </c>
      <c r="C265" s="141"/>
      <c r="D265" s="141"/>
      <c r="E265" s="90">
        <f t="shared" ref="E265:E280" si="142">F265+G265</f>
        <v>75611.212100000004</v>
      </c>
      <c r="F265" s="90">
        <v>74855.100000000006</v>
      </c>
      <c r="G265" s="205">
        <v>756.11210000000005</v>
      </c>
      <c r="H265" s="178"/>
      <c r="I265" s="178"/>
      <c r="J265" s="90"/>
      <c r="K265" s="90">
        <f t="shared" ref="K265:K280" si="143">L265+M265+N265</f>
        <v>0</v>
      </c>
      <c r="L265" s="90"/>
      <c r="M265" s="90"/>
      <c r="N265" s="90"/>
      <c r="O265" s="89">
        <f t="shared" ref="O265:O280" si="144">F265-L265</f>
        <v>74855.100000000006</v>
      </c>
      <c r="P265" s="89">
        <f t="shared" ref="P265:P280" si="145">H265-N265</f>
        <v>0</v>
      </c>
      <c r="Q265" s="91">
        <f t="shared" si="121"/>
        <v>0</v>
      </c>
      <c r="R265" s="91"/>
      <c r="S265" s="201"/>
    </row>
    <row r="266" ht="23.100000000000001" customHeight="1">
      <c r="A266" s="27"/>
      <c r="B266" s="179" t="s">
        <v>337</v>
      </c>
      <c r="C266" s="141"/>
      <c r="D266" s="141"/>
      <c r="E266" s="90">
        <f t="shared" si="142"/>
        <v>42900.202799999999</v>
      </c>
      <c r="F266" s="90">
        <v>42299.599999999999</v>
      </c>
      <c r="G266" s="205">
        <v>600.6028</v>
      </c>
      <c r="H266" s="178"/>
      <c r="I266" s="178"/>
      <c r="J266" s="90"/>
      <c r="K266" s="90">
        <f t="shared" si="143"/>
        <v>0</v>
      </c>
      <c r="L266" s="90"/>
      <c r="M266" s="90"/>
      <c r="N266" s="90"/>
      <c r="O266" s="89">
        <f t="shared" si="144"/>
        <v>42299.599999999999</v>
      </c>
      <c r="P266" s="89">
        <f t="shared" si="145"/>
        <v>0</v>
      </c>
      <c r="Q266" s="91">
        <f t="shared" si="121"/>
        <v>0</v>
      </c>
      <c r="R266" s="91"/>
      <c r="S266" s="201"/>
    </row>
    <row r="267" ht="23.100000000000001" customHeight="1">
      <c r="A267" s="27"/>
      <c r="B267" s="179" t="s">
        <v>339</v>
      </c>
      <c r="C267" s="141"/>
      <c r="D267" s="141"/>
      <c r="E267" s="90">
        <f t="shared" si="142"/>
        <v>50869.352879999999</v>
      </c>
      <c r="F267" s="90">
        <f>46838.1+3510.30338</f>
        <v>50348.403379999996</v>
      </c>
      <c r="G267" s="205">
        <v>520.94949999999994</v>
      </c>
      <c r="H267" s="178"/>
      <c r="I267" s="178"/>
      <c r="J267" s="90"/>
      <c r="K267" s="90">
        <f t="shared" si="143"/>
        <v>0</v>
      </c>
      <c r="L267" s="90"/>
      <c r="M267" s="90"/>
      <c r="N267" s="90"/>
      <c r="O267" s="89">
        <f t="shared" si="144"/>
        <v>50348.403379999996</v>
      </c>
      <c r="P267" s="89">
        <f t="shared" si="145"/>
        <v>0</v>
      </c>
      <c r="Q267" s="91">
        <f t="shared" si="121"/>
        <v>0</v>
      </c>
      <c r="R267" s="91"/>
      <c r="S267" s="201"/>
    </row>
    <row r="268" ht="23.100000000000001" customHeight="1">
      <c r="A268" s="27"/>
      <c r="B268" s="179" t="s">
        <v>343</v>
      </c>
      <c r="C268" s="141"/>
      <c r="D268" s="141"/>
      <c r="E268" s="90">
        <f t="shared" si="142"/>
        <v>16087.5</v>
      </c>
      <c r="F268" s="90">
        <v>15830.1</v>
      </c>
      <c r="G268" s="205">
        <v>257.39999999999998</v>
      </c>
      <c r="H268" s="178"/>
      <c r="I268" s="178"/>
      <c r="J268" s="90"/>
      <c r="K268" s="90">
        <f t="shared" si="143"/>
        <v>0</v>
      </c>
      <c r="L268" s="90"/>
      <c r="M268" s="90"/>
      <c r="N268" s="90"/>
      <c r="O268" s="89">
        <f t="shared" si="144"/>
        <v>15830.1</v>
      </c>
      <c r="P268" s="89">
        <f t="shared" si="145"/>
        <v>0</v>
      </c>
      <c r="Q268" s="91">
        <f t="shared" si="121"/>
        <v>0</v>
      </c>
      <c r="R268" s="91"/>
      <c r="S268" s="201"/>
    </row>
    <row r="269" ht="23.100000000000001" customHeight="1">
      <c r="A269" s="27"/>
      <c r="B269" s="179" t="s">
        <v>344</v>
      </c>
      <c r="C269" s="141"/>
      <c r="D269" s="141"/>
      <c r="E269" s="90">
        <f t="shared" si="142"/>
        <v>65422.8338</v>
      </c>
      <c r="F269" s="90">
        <v>64179.800000000003</v>
      </c>
      <c r="G269" s="205">
        <v>1243.0337999999999</v>
      </c>
      <c r="H269" s="178"/>
      <c r="I269" s="178"/>
      <c r="J269" s="90"/>
      <c r="K269" s="90">
        <f t="shared" si="143"/>
        <v>0</v>
      </c>
      <c r="L269" s="90"/>
      <c r="M269" s="90"/>
      <c r="N269" s="90"/>
      <c r="O269" s="89">
        <f t="shared" si="144"/>
        <v>64179.800000000003</v>
      </c>
      <c r="P269" s="89">
        <f t="shared" si="145"/>
        <v>0</v>
      </c>
      <c r="Q269" s="91">
        <f t="shared" si="121"/>
        <v>0</v>
      </c>
      <c r="R269" s="91"/>
      <c r="S269" s="201"/>
    </row>
    <row r="270" ht="23.100000000000001" customHeight="1">
      <c r="A270" s="27"/>
      <c r="B270" s="179" t="s">
        <v>346</v>
      </c>
      <c r="C270" s="141"/>
      <c r="D270" s="141"/>
      <c r="E270" s="90">
        <f t="shared" si="142"/>
        <v>75611.269</v>
      </c>
      <c r="F270" s="90">
        <v>74477.100000000006</v>
      </c>
      <c r="G270" s="205">
        <v>1134.1690000000001</v>
      </c>
      <c r="H270" s="178"/>
      <c r="I270" s="178"/>
      <c r="J270" s="90"/>
      <c r="K270" s="90">
        <f t="shared" si="143"/>
        <v>0</v>
      </c>
      <c r="L270" s="90"/>
      <c r="M270" s="90"/>
      <c r="N270" s="90"/>
      <c r="O270" s="89">
        <f t="shared" si="144"/>
        <v>74477.100000000006</v>
      </c>
      <c r="P270" s="89">
        <f t="shared" si="145"/>
        <v>0</v>
      </c>
      <c r="Q270" s="91">
        <f t="shared" si="121"/>
        <v>0</v>
      </c>
      <c r="R270" s="91"/>
      <c r="S270" s="201"/>
    </row>
    <row r="271" ht="23.100000000000001" customHeight="1">
      <c r="A271" s="27"/>
      <c r="B271" s="179" t="s">
        <v>348</v>
      </c>
      <c r="C271" s="141"/>
      <c r="D271" s="141"/>
      <c r="E271" s="90">
        <f t="shared" si="142"/>
        <v>75611.246200000009</v>
      </c>
      <c r="F271" s="90">
        <v>74628.300000000003</v>
      </c>
      <c r="G271" s="205">
        <v>982.94619999999998</v>
      </c>
      <c r="H271" s="178"/>
      <c r="I271" s="178"/>
      <c r="J271" s="90"/>
      <c r="K271" s="90">
        <f t="shared" si="143"/>
        <v>0</v>
      </c>
      <c r="L271" s="90"/>
      <c r="M271" s="90"/>
      <c r="N271" s="90"/>
      <c r="O271" s="89">
        <f t="shared" si="144"/>
        <v>74628.300000000003</v>
      </c>
      <c r="P271" s="89">
        <f t="shared" si="145"/>
        <v>0</v>
      </c>
      <c r="Q271" s="91">
        <f t="shared" si="121"/>
        <v>0</v>
      </c>
      <c r="R271" s="91"/>
      <c r="S271" s="206"/>
    </row>
    <row r="272" ht="23.100000000000001" customHeight="1">
      <c r="A272" s="27"/>
      <c r="B272" s="179" t="s">
        <v>349</v>
      </c>
      <c r="C272" s="141"/>
      <c r="D272" s="141"/>
      <c r="E272" s="90">
        <f t="shared" si="142"/>
        <v>89953.862500000003</v>
      </c>
      <c r="F272" s="90">
        <f>6071.2+22557.4125</f>
        <v>28628.612499999999</v>
      </c>
      <c r="G272" s="205">
        <v>61325.25</v>
      </c>
      <c r="H272" s="178"/>
      <c r="I272" s="178"/>
      <c r="J272" s="90"/>
      <c r="K272" s="90">
        <f t="shared" si="143"/>
        <v>0</v>
      </c>
      <c r="L272" s="90"/>
      <c r="M272" s="90"/>
      <c r="N272" s="90"/>
      <c r="O272" s="89">
        <f t="shared" si="144"/>
        <v>28628.612499999999</v>
      </c>
      <c r="P272" s="89">
        <f t="shared" si="145"/>
        <v>0</v>
      </c>
      <c r="Q272" s="91">
        <f t="shared" si="121"/>
        <v>0</v>
      </c>
      <c r="R272" s="91"/>
      <c r="S272" s="206"/>
    </row>
    <row r="273" ht="23.100000000000001" customHeight="1">
      <c r="A273" s="27"/>
      <c r="B273" s="179" t="s">
        <v>363</v>
      </c>
      <c r="C273" s="141"/>
      <c r="D273" s="141"/>
      <c r="E273" s="90">
        <f t="shared" si="142"/>
        <v>32175.152999999998</v>
      </c>
      <c r="F273" s="90">
        <v>31596</v>
      </c>
      <c r="G273" s="205">
        <v>579.15300000000002</v>
      </c>
      <c r="H273" s="178"/>
      <c r="I273" s="178"/>
      <c r="J273" s="90"/>
      <c r="K273" s="90">
        <f t="shared" si="143"/>
        <v>0</v>
      </c>
      <c r="L273" s="90"/>
      <c r="M273" s="90"/>
      <c r="N273" s="90"/>
      <c r="O273" s="89">
        <f t="shared" si="144"/>
        <v>31596</v>
      </c>
      <c r="P273" s="89">
        <f t="shared" si="145"/>
        <v>0</v>
      </c>
      <c r="Q273" s="91">
        <f t="shared" si="121"/>
        <v>0</v>
      </c>
      <c r="R273" s="91"/>
      <c r="S273" s="201"/>
    </row>
    <row r="274" ht="23.100000000000001" customHeight="1">
      <c r="A274" s="27"/>
      <c r="B274" s="179" t="s">
        <v>352</v>
      </c>
      <c r="C274" s="141"/>
      <c r="D274" s="141"/>
      <c r="E274" s="90">
        <f t="shared" si="142"/>
        <v>37537.576370000002</v>
      </c>
      <c r="F274" s="90">
        <v>36861.900000000001</v>
      </c>
      <c r="G274" s="205">
        <v>675.67637000000002</v>
      </c>
      <c r="H274" s="178"/>
      <c r="I274" s="178"/>
      <c r="J274" s="90"/>
      <c r="K274" s="90">
        <f t="shared" si="143"/>
        <v>0</v>
      </c>
      <c r="L274" s="90"/>
      <c r="M274" s="90"/>
      <c r="N274" s="90"/>
      <c r="O274" s="89">
        <f t="shared" si="144"/>
        <v>36861.900000000001</v>
      </c>
      <c r="P274" s="89">
        <f t="shared" si="145"/>
        <v>0</v>
      </c>
      <c r="Q274" s="91">
        <f t="shared" si="121"/>
        <v>0</v>
      </c>
      <c r="R274" s="91"/>
      <c r="S274" s="201"/>
    </row>
    <row r="275" ht="23.100000000000001" customHeight="1">
      <c r="A275" s="27"/>
      <c r="B275" s="179" t="s">
        <v>357</v>
      </c>
      <c r="C275" s="141"/>
      <c r="D275" s="141"/>
      <c r="E275" s="90">
        <f t="shared" si="142"/>
        <v>37537.613799999999</v>
      </c>
      <c r="F275" s="90">
        <v>37124.699999999997</v>
      </c>
      <c r="G275" s="205">
        <v>412.91379999999998</v>
      </c>
      <c r="H275" s="178"/>
      <c r="I275" s="178"/>
      <c r="J275" s="90"/>
      <c r="K275" s="90">
        <f t="shared" si="143"/>
        <v>0</v>
      </c>
      <c r="L275" s="90"/>
      <c r="M275" s="90"/>
      <c r="N275" s="90"/>
      <c r="O275" s="89">
        <f t="shared" si="144"/>
        <v>37124.699999999997</v>
      </c>
      <c r="P275" s="89">
        <f t="shared" si="145"/>
        <v>0</v>
      </c>
      <c r="Q275" s="91">
        <f t="shared" si="121"/>
        <v>0</v>
      </c>
      <c r="R275" s="91"/>
      <c r="S275" s="201"/>
    </row>
    <row r="276" ht="23.100000000000001" customHeight="1">
      <c r="A276" s="27"/>
      <c r="B276" s="179" t="s">
        <v>364</v>
      </c>
      <c r="C276" s="141"/>
      <c r="D276" s="141"/>
      <c r="E276" s="90">
        <f t="shared" si="142"/>
        <v>120283.41516999999</v>
      </c>
      <c r="F276" s="90">
        <f>115430.7+2736.87749</f>
        <v>118167.57749</v>
      </c>
      <c r="G276" s="205">
        <v>2115.8376800000001</v>
      </c>
      <c r="H276" s="207"/>
      <c r="I276" s="178"/>
      <c r="J276" s="90">
        <f>K276</f>
        <v>12568.116200000002</v>
      </c>
      <c r="K276" s="90">
        <f t="shared" si="143"/>
        <v>12568.116200000002</v>
      </c>
      <c r="L276" s="90">
        <f>2736.87749+9512.82306</f>
        <v>12249.700550000001</v>
      </c>
      <c r="M276" s="90">
        <v>318.41565000000003</v>
      </c>
      <c r="N276" s="90"/>
      <c r="O276" s="89">
        <f t="shared" si="144"/>
        <v>105917.87693999999</v>
      </c>
      <c r="P276" s="89">
        <f t="shared" si="145"/>
        <v>0</v>
      </c>
      <c r="Q276" s="91">
        <f t="shared" si="121"/>
        <v>0.10366380364391103</v>
      </c>
      <c r="R276" s="91"/>
      <c r="S276" s="201"/>
    </row>
    <row r="277" ht="23.100000000000001" customHeight="1">
      <c r="A277" s="27"/>
      <c r="B277" s="179" t="s">
        <v>355</v>
      </c>
      <c r="C277" s="141"/>
      <c r="D277" s="141"/>
      <c r="E277" s="90">
        <f t="shared" si="142"/>
        <v>29159.25128</v>
      </c>
      <c r="F277" s="90">
        <v>27701.28872</v>
      </c>
      <c r="G277" s="205">
        <v>1457.9625599999999</v>
      </c>
      <c r="H277" s="178"/>
      <c r="I277" s="178"/>
      <c r="J277" s="90"/>
      <c r="K277" s="90">
        <f t="shared" si="143"/>
        <v>0</v>
      </c>
      <c r="L277" s="90"/>
      <c r="M277" s="90"/>
      <c r="N277" s="90"/>
      <c r="O277" s="89">
        <f t="shared" si="144"/>
        <v>27701.28872</v>
      </c>
      <c r="P277" s="89">
        <f t="shared" si="145"/>
        <v>0</v>
      </c>
      <c r="Q277" s="91">
        <f t="shared" si="121"/>
        <v>0</v>
      </c>
      <c r="R277" s="91"/>
      <c r="S277" s="201"/>
    </row>
    <row r="278" ht="23.100000000000001" customHeight="1">
      <c r="A278" s="27"/>
      <c r="B278" s="179" t="s">
        <v>358</v>
      </c>
      <c r="C278" s="141"/>
      <c r="D278" s="141"/>
      <c r="E278" s="90">
        <f t="shared" si="142"/>
        <v>73466.599199999997</v>
      </c>
      <c r="F278" s="90">
        <v>72585</v>
      </c>
      <c r="G278" s="205">
        <v>881.5992</v>
      </c>
      <c r="H278" s="178"/>
      <c r="I278" s="178"/>
      <c r="J278" s="90"/>
      <c r="K278" s="90">
        <f t="shared" si="143"/>
        <v>0</v>
      </c>
      <c r="L278" s="90"/>
      <c r="M278" s="90"/>
      <c r="N278" s="90"/>
      <c r="O278" s="89">
        <f t="shared" si="144"/>
        <v>72585</v>
      </c>
      <c r="P278" s="89">
        <f t="shared" si="145"/>
        <v>0</v>
      </c>
      <c r="Q278" s="91">
        <f t="shared" si="121"/>
        <v>0</v>
      </c>
      <c r="R278" s="91"/>
      <c r="S278" s="201"/>
    </row>
    <row r="279" ht="23.100000000000001" customHeight="1">
      <c r="A279" s="27"/>
      <c r="B279" s="179" t="s">
        <v>359</v>
      </c>
      <c r="C279" s="141"/>
      <c r="D279" s="141"/>
      <c r="E279" s="90">
        <f t="shared" si="142"/>
        <v>6707.0695999999998</v>
      </c>
      <c r="F279" s="90">
        <v>6436.8000000000002</v>
      </c>
      <c r="G279" s="205">
        <v>270.26960000000003</v>
      </c>
      <c r="H279" s="178"/>
      <c r="I279" s="178"/>
      <c r="J279" s="90"/>
      <c r="K279" s="90">
        <f t="shared" si="143"/>
        <v>0</v>
      </c>
      <c r="L279" s="90"/>
      <c r="M279" s="90"/>
      <c r="N279" s="90"/>
      <c r="O279" s="89">
        <f t="shared" si="144"/>
        <v>6436.8000000000002</v>
      </c>
      <c r="P279" s="89">
        <f t="shared" si="145"/>
        <v>0</v>
      </c>
      <c r="Q279" s="91">
        <f t="shared" si="121"/>
        <v>0</v>
      </c>
      <c r="R279" s="91"/>
      <c r="S279" s="201"/>
    </row>
    <row r="280" ht="23.100000000000001" customHeight="1">
      <c r="A280" s="27"/>
      <c r="B280" s="179" t="s">
        <v>365</v>
      </c>
      <c r="C280" s="141"/>
      <c r="D280" s="141"/>
      <c r="E280" s="90">
        <f t="shared" si="142"/>
        <v>19304.9696</v>
      </c>
      <c r="F280" s="90">
        <v>19034.700000000001</v>
      </c>
      <c r="G280" s="205">
        <v>270.26960000000003</v>
      </c>
      <c r="H280" s="178"/>
      <c r="I280" s="178"/>
      <c r="J280" s="90"/>
      <c r="K280" s="90">
        <f t="shared" si="143"/>
        <v>0</v>
      </c>
      <c r="L280" s="90"/>
      <c r="M280" s="90"/>
      <c r="N280" s="90"/>
      <c r="O280" s="89">
        <f t="shared" si="144"/>
        <v>19034.700000000001</v>
      </c>
      <c r="P280" s="89">
        <f t="shared" si="145"/>
        <v>0</v>
      </c>
      <c r="Q280" s="91">
        <f t="shared" si="121"/>
        <v>0</v>
      </c>
      <c r="R280" s="91"/>
      <c r="S280" s="201"/>
    </row>
    <row r="281" ht="60" customHeight="1">
      <c r="A281" s="27"/>
      <c r="B281" s="204" t="s">
        <v>397</v>
      </c>
      <c r="C281" s="141"/>
      <c r="D281" s="136" t="s">
        <v>334</v>
      </c>
      <c r="E281" s="90">
        <f>SUM(E282:E296)</f>
        <v>127273.54558999999</v>
      </c>
      <c r="F281" s="90">
        <f t="shared" ref="F281:P281" si="146">SUM(F282:F296)</f>
        <v>127273.54558999999</v>
      </c>
      <c r="G281" s="90">
        <f t="shared" si="146"/>
        <v>0</v>
      </c>
      <c r="H281" s="90">
        <f t="shared" si="146"/>
        <v>0</v>
      </c>
      <c r="I281" s="90">
        <f t="shared" si="146"/>
        <v>0</v>
      </c>
      <c r="J281" s="90">
        <f t="shared" si="146"/>
        <v>1596.34806</v>
      </c>
      <c r="K281" s="90">
        <f t="shared" si="146"/>
        <v>1596.34806</v>
      </c>
      <c r="L281" s="90">
        <f t="shared" si="146"/>
        <v>1596.34806</v>
      </c>
      <c r="M281" s="90">
        <f t="shared" si="146"/>
        <v>0</v>
      </c>
      <c r="N281" s="90">
        <f t="shared" si="146"/>
        <v>0</v>
      </c>
      <c r="O281" s="90">
        <f t="shared" si="146"/>
        <v>125677.19752999999</v>
      </c>
      <c r="P281" s="90">
        <f t="shared" si="146"/>
        <v>0</v>
      </c>
      <c r="Q281" s="91">
        <f t="shared" si="121"/>
        <v>0.012542654112446025</v>
      </c>
      <c r="R281" s="91"/>
      <c r="S281" s="189"/>
    </row>
    <row r="282" ht="23.100000000000001" customHeight="1">
      <c r="A282" s="27"/>
      <c r="B282" s="179" t="s">
        <v>335</v>
      </c>
      <c r="C282" s="141"/>
      <c r="D282" s="141"/>
      <c r="E282" s="90">
        <f t="shared" ref="E282:E296" si="147">F282+G282+H282</f>
        <v>9633.8999999999996</v>
      </c>
      <c r="F282" s="90">
        <v>9633.8999999999996</v>
      </c>
      <c r="G282" s="199"/>
      <c r="H282" s="178"/>
      <c r="I282" s="178"/>
      <c r="J282" s="90"/>
      <c r="K282" s="90">
        <f t="shared" ref="K282:K296" si="148">L282+M282+N282</f>
        <v>0</v>
      </c>
      <c r="L282" s="90"/>
      <c r="M282" s="90"/>
      <c r="N282" s="90"/>
      <c r="O282" s="89">
        <f t="shared" ref="O282:O296" si="149">F282-L282</f>
        <v>9633.8999999999996</v>
      </c>
      <c r="P282" s="89">
        <f t="shared" ref="P282:P296" si="150">H282-N282</f>
        <v>0</v>
      </c>
      <c r="Q282" s="91">
        <f t="shared" si="121"/>
        <v>0</v>
      </c>
      <c r="R282" s="91"/>
      <c r="S282" s="189"/>
    </row>
    <row r="283" ht="23.100000000000001" customHeight="1">
      <c r="A283" s="27"/>
      <c r="B283" s="179" t="s">
        <v>337</v>
      </c>
      <c r="C283" s="141"/>
      <c r="D283" s="141"/>
      <c r="E283" s="90">
        <f t="shared" si="147"/>
        <v>9093.5</v>
      </c>
      <c r="F283" s="90">
        <v>9093.5</v>
      </c>
      <c r="G283" s="199"/>
      <c r="H283" s="178"/>
      <c r="I283" s="178"/>
      <c r="J283" s="90">
        <f>K283</f>
        <v>1088.4764700000001</v>
      </c>
      <c r="K283" s="90">
        <f t="shared" si="148"/>
        <v>1088.4764700000001</v>
      </c>
      <c r="L283" s="90">
        <f>1088.47647</f>
        <v>1088.4764700000001</v>
      </c>
      <c r="M283" s="90"/>
      <c r="N283" s="90"/>
      <c r="O283" s="89">
        <f t="shared" si="149"/>
        <v>8005.0235300000004</v>
      </c>
      <c r="P283" s="89">
        <f t="shared" si="150"/>
        <v>0</v>
      </c>
      <c r="Q283" s="91">
        <f t="shared" si="121"/>
        <v>0.11969829768515973</v>
      </c>
      <c r="R283" s="91"/>
      <c r="S283" s="189"/>
    </row>
    <row r="284" ht="23.100000000000001" customHeight="1">
      <c r="A284" s="27"/>
      <c r="B284" s="179" t="s">
        <v>338</v>
      </c>
      <c r="C284" s="141"/>
      <c r="D284" s="141"/>
      <c r="E284" s="90">
        <f t="shared" si="147"/>
        <v>14978.299999999999</v>
      </c>
      <c r="F284" s="90">
        <v>14978.299999999999</v>
      </c>
      <c r="G284" s="199"/>
      <c r="H284" s="178"/>
      <c r="I284" s="178"/>
      <c r="J284" s="90"/>
      <c r="K284" s="90">
        <f t="shared" si="148"/>
        <v>0</v>
      </c>
      <c r="L284" s="90"/>
      <c r="M284" s="90"/>
      <c r="N284" s="90"/>
      <c r="O284" s="89">
        <f t="shared" si="149"/>
        <v>14978.299999999999</v>
      </c>
      <c r="P284" s="89">
        <f t="shared" si="150"/>
        <v>0</v>
      </c>
      <c r="Q284" s="91">
        <f t="shared" si="121"/>
        <v>0</v>
      </c>
      <c r="R284" s="91"/>
      <c r="S284" s="189"/>
    </row>
    <row r="285" ht="23.100000000000001" customHeight="1">
      <c r="A285" s="27"/>
      <c r="B285" s="179" t="s">
        <v>339</v>
      </c>
      <c r="C285" s="141"/>
      <c r="D285" s="141"/>
      <c r="E285" s="90">
        <f t="shared" si="147"/>
        <v>12230.62146</v>
      </c>
      <c r="F285" s="90">
        <f>9625.9+2604.72146</f>
        <v>12230.62146</v>
      </c>
      <c r="G285" s="199"/>
      <c r="H285" s="178"/>
      <c r="I285" s="178"/>
      <c r="J285" s="90"/>
      <c r="K285" s="90">
        <f t="shared" si="148"/>
        <v>0</v>
      </c>
      <c r="L285" s="90"/>
      <c r="M285" s="90"/>
      <c r="N285" s="90"/>
      <c r="O285" s="89">
        <f t="shared" si="149"/>
        <v>12230.62146</v>
      </c>
      <c r="P285" s="89">
        <f t="shared" si="150"/>
        <v>0</v>
      </c>
      <c r="Q285" s="91">
        <f t="shared" si="121"/>
        <v>0</v>
      </c>
      <c r="R285" s="91"/>
      <c r="S285" s="189"/>
    </row>
    <row r="286" ht="23.100000000000001" customHeight="1">
      <c r="A286" s="27"/>
      <c r="B286" s="179" t="s">
        <v>340</v>
      </c>
      <c r="C286" s="141"/>
      <c r="D286" s="141"/>
      <c r="E286" s="90">
        <f t="shared" si="147"/>
        <v>3660.0155500000001</v>
      </c>
      <c r="F286" s="90">
        <v>3660.0155500000001</v>
      </c>
      <c r="G286" s="199"/>
      <c r="H286" s="178"/>
      <c r="I286" s="178"/>
      <c r="J286" s="90"/>
      <c r="K286" s="90">
        <f t="shared" si="148"/>
        <v>0</v>
      </c>
      <c r="L286" s="90"/>
      <c r="M286" s="90"/>
      <c r="N286" s="90"/>
      <c r="O286" s="89">
        <f t="shared" si="149"/>
        <v>3660.0155500000001</v>
      </c>
      <c r="P286" s="89">
        <f t="shared" si="150"/>
        <v>0</v>
      </c>
      <c r="Q286" s="91">
        <f t="shared" si="121"/>
        <v>0</v>
      </c>
      <c r="R286" s="91"/>
      <c r="S286" s="189"/>
    </row>
    <row r="287" ht="23.100000000000001" customHeight="1">
      <c r="A287" s="27"/>
      <c r="B287" s="179" t="s">
        <v>341</v>
      </c>
      <c r="C287" s="141"/>
      <c r="D287" s="141"/>
      <c r="E287" s="90">
        <f t="shared" si="147"/>
        <v>8225.5</v>
      </c>
      <c r="F287" s="90">
        <v>8225.5</v>
      </c>
      <c r="G287" s="199"/>
      <c r="H287" s="178"/>
      <c r="I287" s="178"/>
      <c r="J287" s="90"/>
      <c r="K287" s="90">
        <f t="shared" si="148"/>
        <v>0</v>
      </c>
      <c r="L287" s="90"/>
      <c r="M287" s="90"/>
      <c r="N287" s="90"/>
      <c r="O287" s="89">
        <f t="shared" si="149"/>
        <v>8225.5</v>
      </c>
      <c r="P287" s="89">
        <f t="shared" si="150"/>
        <v>0</v>
      </c>
      <c r="Q287" s="91">
        <f t="shared" si="121"/>
        <v>0</v>
      </c>
      <c r="R287" s="91"/>
      <c r="S287" s="189"/>
    </row>
    <row r="288" ht="23.100000000000001" customHeight="1">
      <c r="A288" s="27"/>
      <c r="B288" s="179" t="s">
        <v>362</v>
      </c>
      <c r="C288" s="141"/>
      <c r="D288" s="141"/>
      <c r="E288" s="90">
        <f t="shared" si="147"/>
        <v>5254.8000000000002</v>
      </c>
      <c r="F288" s="90">
        <v>5254.8000000000002</v>
      </c>
      <c r="G288" s="199"/>
      <c r="H288" s="178"/>
      <c r="I288" s="178"/>
      <c r="J288" s="90"/>
      <c r="K288" s="90">
        <f t="shared" si="148"/>
        <v>0</v>
      </c>
      <c r="L288" s="90"/>
      <c r="M288" s="90"/>
      <c r="N288" s="90"/>
      <c r="O288" s="89">
        <f t="shared" si="149"/>
        <v>5254.8000000000002</v>
      </c>
      <c r="P288" s="89">
        <f t="shared" si="150"/>
        <v>0</v>
      </c>
      <c r="Q288" s="91">
        <f t="shared" si="121"/>
        <v>0</v>
      </c>
      <c r="R288" s="91"/>
      <c r="S288" s="189"/>
    </row>
    <row r="289" ht="23.100000000000001" customHeight="1">
      <c r="A289" s="27"/>
      <c r="B289" s="179" t="s">
        <v>342</v>
      </c>
      <c r="C289" s="141"/>
      <c r="D289" s="141"/>
      <c r="E289" s="90">
        <f t="shared" si="147"/>
        <v>12575.700000000001</v>
      </c>
      <c r="F289" s="90">
        <v>12575.700000000001</v>
      </c>
      <c r="G289" s="199"/>
      <c r="H289" s="178"/>
      <c r="I289" s="178"/>
      <c r="J289" s="90"/>
      <c r="K289" s="90">
        <f t="shared" si="148"/>
        <v>0</v>
      </c>
      <c r="L289" s="90"/>
      <c r="M289" s="90"/>
      <c r="N289" s="90"/>
      <c r="O289" s="89">
        <f t="shared" si="149"/>
        <v>12575.700000000001</v>
      </c>
      <c r="P289" s="89">
        <f t="shared" si="150"/>
        <v>0</v>
      </c>
      <c r="Q289" s="91">
        <f t="shared" si="121"/>
        <v>0</v>
      </c>
      <c r="R289" s="91"/>
      <c r="S289" s="189"/>
    </row>
    <row r="290" ht="23.100000000000001" customHeight="1">
      <c r="A290" s="27"/>
      <c r="B290" s="179" t="s">
        <v>348</v>
      </c>
      <c r="C290" s="141"/>
      <c r="D290" s="141"/>
      <c r="E290" s="90">
        <f t="shared" si="147"/>
        <v>578.38648000000001</v>
      </c>
      <c r="F290" s="90">
        <v>578.38648000000001</v>
      </c>
      <c r="G290" s="199"/>
      <c r="H290" s="178"/>
      <c r="I290" s="178"/>
      <c r="J290" s="90"/>
      <c r="K290" s="90">
        <f t="shared" si="148"/>
        <v>0</v>
      </c>
      <c r="L290" s="90"/>
      <c r="M290" s="90"/>
      <c r="N290" s="90"/>
      <c r="O290" s="89">
        <f t="shared" si="149"/>
        <v>578.38648000000001</v>
      </c>
      <c r="P290" s="89">
        <f t="shared" si="150"/>
        <v>0</v>
      </c>
      <c r="Q290" s="91">
        <f t="shared" si="121"/>
        <v>0</v>
      </c>
      <c r="R290" s="91"/>
      <c r="S290" s="189"/>
    </row>
    <row r="291" ht="23.100000000000001" customHeight="1">
      <c r="A291" s="27"/>
      <c r="B291" s="179" t="s">
        <v>349</v>
      </c>
      <c r="C291" s="141"/>
      <c r="D291" s="141"/>
      <c r="E291" s="90">
        <f t="shared" si="147"/>
        <v>7144.3999999999996</v>
      </c>
      <c r="F291" s="90">
        <v>7144.3999999999996</v>
      </c>
      <c r="G291" s="199"/>
      <c r="H291" s="178"/>
      <c r="I291" s="178"/>
      <c r="J291" s="90"/>
      <c r="K291" s="90">
        <f t="shared" si="148"/>
        <v>0</v>
      </c>
      <c r="L291" s="90"/>
      <c r="M291" s="90"/>
      <c r="N291" s="90"/>
      <c r="O291" s="89">
        <f t="shared" si="149"/>
        <v>7144.3999999999996</v>
      </c>
      <c r="P291" s="89">
        <f t="shared" si="150"/>
        <v>0</v>
      </c>
      <c r="Q291" s="91">
        <f t="shared" si="121"/>
        <v>0</v>
      </c>
      <c r="R291" s="91"/>
      <c r="S291" s="189"/>
    </row>
    <row r="292" ht="23.100000000000001" customHeight="1">
      <c r="A292" s="27"/>
      <c r="B292" s="179" t="s">
        <v>350</v>
      </c>
      <c r="C292" s="141"/>
      <c r="D292" s="141"/>
      <c r="E292" s="90">
        <f t="shared" si="147"/>
        <v>14172.1</v>
      </c>
      <c r="F292" s="90">
        <v>14172.1</v>
      </c>
      <c r="G292" s="199"/>
      <c r="H292" s="178"/>
      <c r="I292" s="178"/>
      <c r="J292" s="90"/>
      <c r="K292" s="90">
        <f t="shared" si="148"/>
        <v>0</v>
      </c>
      <c r="L292" s="90"/>
      <c r="M292" s="90"/>
      <c r="N292" s="90"/>
      <c r="O292" s="89">
        <f t="shared" si="149"/>
        <v>14172.1</v>
      </c>
      <c r="P292" s="89">
        <f t="shared" si="150"/>
        <v>0</v>
      </c>
      <c r="Q292" s="91">
        <f t="shared" si="121"/>
        <v>0</v>
      </c>
      <c r="R292" s="91"/>
      <c r="S292" s="189"/>
    </row>
    <row r="293" ht="23.100000000000001" customHeight="1">
      <c r="A293" s="27"/>
      <c r="B293" s="179" t="s">
        <v>364</v>
      </c>
      <c r="C293" s="141"/>
      <c r="D293" s="141"/>
      <c r="E293" s="90">
        <f t="shared" si="147"/>
        <v>11942.9</v>
      </c>
      <c r="F293" s="90">
        <v>11942.9</v>
      </c>
      <c r="G293" s="199"/>
      <c r="H293" s="178"/>
      <c r="I293" s="178"/>
      <c r="J293" s="90"/>
      <c r="K293" s="90">
        <f t="shared" si="148"/>
        <v>0</v>
      </c>
      <c r="L293" s="90"/>
      <c r="M293" s="90"/>
      <c r="N293" s="90"/>
      <c r="O293" s="89">
        <f t="shared" si="149"/>
        <v>11942.9</v>
      </c>
      <c r="P293" s="89">
        <f t="shared" si="150"/>
        <v>0</v>
      </c>
      <c r="Q293" s="91">
        <f t="shared" si="121"/>
        <v>0</v>
      </c>
      <c r="R293" s="91"/>
      <c r="S293" s="189"/>
    </row>
    <row r="294" ht="23.100000000000001" customHeight="1">
      <c r="A294" s="27"/>
      <c r="B294" s="179" t="s">
        <v>356</v>
      </c>
      <c r="C294" s="141"/>
      <c r="D294" s="141"/>
      <c r="E294" s="90">
        <f t="shared" si="147"/>
        <v>3710.85682</v>
      </c>
      <c r="F294" s="90">
        <v>3710.85682</v>
      </c>
      <c r="G294" s="199"/>
      <c r="H294" s="178"/>
      <c r="I294" s="178"/>
      <c r="J294" s="90"/>
      <c r="K294" s="90">
        <f t="shared" si="148"/>
        <v>0</v>
      </c>
      <c r="L294" s="90"/>
      <c r="M294" s="90"/>
      <c r="N294" s="90"/>
      <c r="O294" s="89">
        <f t="shared" si="149"/>
        <v>3710.85682</v>
      </c>
      <c r="P294" s="89">
        <f t="shared" si="150"/>
        <v>0</v>
      </c>
      <c r="Q294" s="91">
        <f t="shared" si="121"/>
        <v>0</v>
      </c>
      <c r="R294" s="91"/>
      <c r="S294" s="189"/>
    </row>
    <row r="295" ht="23.100000000000001" customHeight="1">
      <c r="A295" s="27"/>
      <c r="B295" s="179" t="s">
        <v>358</v>
      </c>
      <c r="C295" s="141"/>
      <c r="D295" s="141"/>
      <c r="E295" s="90">
        <f t="shared" si="147"/>
        <v>6807.6999999999998</v>
      </c>
      <c r="F295" s="90">
        <v>6807.6999999999998</v>
      </c>
      <c r="G295" s="199"/>
      <c r="H295" s="178"/>
      <c r="I295" s="178"/>
      <c r="J295" s="90">
        <f>K295</f>
        <v>507.87159000000003</v>
      </c>
      <c r="K295" s="90">
        <f t="shared" si="148"/>
        <v>507.87159000000003</v>
      </c>
      <c r="L295" s="90">
        <f>507.87159</f>
        <v>507.87159000000003</v>
      </c>
      <c r="M295" s="90"/>
      <c r="N295" s="90"/>
      <c r="O295" s="89">
        <f t="shared" si="149"/>
        <v>6299.8284100000001</v>
      </c>
      <c r="P295" s="89">
        <f t="shared" si="150"/>
        <v>0</v>
      </c>
      <c r="Q295" s="91">
        <f t="shared" si="121"/>
        <v>0.074602522144042782</v>
      </c>
      <c r="R295" s="91"/>
      <c r="S295" s="189"/>
    </row>
    <row r="296" ht="23.100000000000001" customHeight="1">
      <c r="A296" s="27"/>
      <c r="B296" s="179" t="s">
        <v>359</v>
      </c>
      <c r="C296" s="141"/>
      <c r="D296" s="141"/>
      <c r="E296" s="90">
        <f t="shared" si="147"/>
        <v>7264.86528</v>
      </c>
      <c r="F296" s="90">
        <f>4546.8+2718.06528</f>
        <v>7264.86528</v>
      </c>
      <c r="G296" s="199"/>
      <c r="H296" s="178"/>
      <c r="I296" s="178"/>
      <c r="J296" s="90"/>
      <c r="K296" s="90">
        <f t="shared" si="148"/>
        <v>0</v>
      </c>
      <c r="L296" s="90"/>
      <c r="M296" s="90"/>
      <c r="N296" s="90"/>
      <c r="O296" s="89">
        <f t="shared" si="149"/>
        <v>7264.86528</v>
      </c>
      <c r="P296" s="89">
        <f t="shared" si="150"/>
        <v>0</v>
      </c>
      <c r="Q296" s="91">
        <f t="shared" si="121"/>
        <v>0</v>
      </c>
      <c r="R296" s="91"/>
      <c r="S296" s="189"/>
    </row>
    <row r="297" ht="84" customHeight="1">
      <c r="A297" s="27"/>
      <c r="B297" s="149" t="s">
        <v>398</v>
      </c>
      <c r="C297" s="208"/>
      <c r="D297" s="208"/>
      <c r="E297" s="76">
        <f>E298</f>
        <v>705199.82305999997</v>
      </c>
      <c r="F297" s="76">
        <f t="shared" ref="F297:P297" si="151">F298</f>
        <v>705199.82305999997</v>
      </c>
      <c r="G297" s="76">
        <f t="shared" si="151"/>
        <v>0</v>
      </c>
      <c r="H297" s="76">
        <f t="shared" si="151"/>
        <v>0</v>
      </c>
      <c r="I297" s="76">
        <f t="shared" si="151"/>
        <v>0</v>
      </c>
      <c r="J297" s="76">
        <f t="shared" si="151"/>
        <v>26490.136160000002</v>
      </c>
      <c r="K297" s="76">
        <f t="shared" si="151"/>
        <v>26490.136160000002</v>
      </c>
      <c r="L297" s="76">
        <f t="shared" si="151"/>
        <v>26490.136160000002</v>
      </c>
      <c r="M297" s="76">
        <f t="shared" si="151"/>
        <v>0</v>
      </c>
      <c r="N297" s="76">
        <f t="shared" si="151"/>
        <v>0</v>
      </c>
      <c r="O297" s="76">
        <f t="shared" si="151"/>
        <v>678709.68689999997</v>
      </c>
      <c r="P297" s="76">
        <f t="shared" si="151"/>
        <v>0</v>
      </c>
      <c r="Q297" s="109">
        <f t="shared" si="121"/>
        <v>0.037564014189700332</v>
      </c>
      <c r="R297" s="109"/>
      <c r="S297" s="76">
        <f>S298</f>
        <v>0</v>
      </c>
    </row>
    <row r="298" ht="101.25" customHeight="1">
      <c r="A298" s="27"/>
      <c r="B298" s="204" t="s">
        <v>399</v>
      </c>
      <c r="C298" s="141"/>
      <c r="D298" s="136" t="s">
        <v>334</v>
      </c>
      <c r="E298" s="90">
        <f t="shared" ref="E298:P298" si="152">SUM(E299:E310)</f>
        <v>705199.82305999997</v>
      </c>
      <c r="F298" s="90">
        <f>SUM(F299:F310)</f>
        <v>705199.82305999997</v>
      </c>
      <c r="G298" s="90">
        <f t="shared" si="152"/>
        <v>0</v>
      </c>
      <c r="H298" s="90">
        <f t="shared" si="152"/>
        <v>0</v>
      </c>
      <c r="I298" s="90">
        <f t="shared" si="152"/>
        <v>0</v>
      </c>
      <c r="J298" s="90">
        <f t="shared" si="152"/>
        <v>26490.136160000002</v>
      </c>
      <c r="K298" s="90">
        <f t="shared" si="152"/>
        <v>26490.136160000002</v>
      </c>
      <c r="L298" s="90">
        <f t="shared" si="152"/>
        <v>26490.136160000002</v>
      </c>
      <c r="M298" s="90">
        <f t="shared" si="152"/>
        <v>0</v>
      </c>
      <c r="N298" s="90">
        <f t="shared" si="152"/>
        <v>0</v>
      </c>
      <c r="O298" s="90">
        <f t="shared" si="152"/>
        <v>678709.68689999997</v>
      </c>
      <c r="P298" s="90">
        <f t="shared" si="152"/>
        <v>0</v>
      </c>
      <c r="Q298" s="91">
        <f t="shared" si="121"/>
        <v>0.037564014189700332</v>
      </c>
      <c r="R298" s="91"/>
      <c r="S298" s="189"/>
    </row>
    <row r="299" ht="23.100000000000001" customHeight="1">
      <c r="A299" s="27"/>
      <c r="B299" s="179" t="s">
        <v>335</v>
      </c>
      <c r="C299" s="141"/>
      <c r="D299" s="141"/>
      <c r="E299" s="90">
        <f t="shared" ref="E299:E310" si="153">F299+G299</f>
        <v>12517.1</v>
      </c>
      <c r="F299" s="89">
        <v>12517.1</v>
      </c>
      <c r="G299" s="89"/>
      <c r="H299" s="209"/>
      <c r="I299" s="209"/>
      <c r="J299" s="90"/>
      <c r="K299" s="90">
        <f t="shared" ref="K299:K310" si="154">L299+M299+N299</f>
        <v>0</v>
      </c>
      <c r="L299" s="89"/>
      <c r="M299" s="89"/>
      <c r="N299" s="89"/>
      <c r="O299" s="89">
        <f t="shared" ref="O299:O310" si="155">F299-L299</f>
        <v>12517.1</v>
      </c>
      <c r="P299" s="89">
        <f t="shared" ref="P299:P310" si="156">H299-N299</f>
        <v>0</v>
      </c>
      <c r="Q299" s="91">
        <f t="shared" si="121"/>
        <v>0</v>
      </c>
      <c r="R299" s="91"/>
      <c r="S299" s="201"/>
    </row>
    <row r="300" ht="23.100000000000001" customHeight="1">
      <c r="A300" s="27"/>
      <c r="B300" s="179" t="s">
        <v>362</v>
      </c>
      <c r="C300" s="141"/>
      <c r="D300" s="141"/>
      <c r="E300" s="90">
        <f t="shared" si="153"/>
        <v>171728.39999999999</v>
      </c>
      <c r="F300" s="89">
        <v>171728.39999999999</v>
      </c>
      <c r="G300" s="89"/>
      <c r="H300" s="209"/>
      <c r="I300" s="209"/>
      <c r="J300" s="90">
        <f>K300</f>
        <v>23535.24007</v>
      </c>
      <c r="K300" s="90">
        <f t="shared" si="154"/>
        <v>23535.24007</v>
      </c>
      <c r="L300" s="89">
        <f>23535.24007</f>
        <v>23535.24007</v>
      </c>
      <c r="M300" s="89"/>
      <c r="N300" s="89"/>
      <c r="O300" s="89">
        <f t="shared" si="155"/>
        <v>148193.15992999999</v>
      </c>
      <c r="P300" s="89">
        <f t="shared" si="156"/>
        <v>0</v>
      </c>
      <c r="Q300" s="91">
        <f t="shared" ref="Q300:Q316" si="157">L300/F300</f>
        <v>0.13704920135516316</v>
      </c>
      <c r="R300" s="91"/>
      <c r="S300" s="201"/>
    </row>
    <row r="301" ht="23.100000000000001" customHeight="1">
      <c r="A301" s="27"/>
      <c r="B301" s="179" t="s">
        <v>344</v>
      </c>
      <c r="C301" s="141"/>
      <c r="D301" s="141"/>
      <c r="E301" s="90">
        <f t="shared" si="153"/>
        <v>14393.1</v>
      </c>
      <c r="F301" s="89">
        <v>14393.1</v>
      </c>
      <c r="G301" s="89"/>
      <c r="H301" s="209"/>
      <c r="I301" s="209"/>
      <c r="J301" s="90"/>
      <c r="K301" s="90">
        <f t="shared" si="154"/>
        <v>0</v>
      </c>
      <c r="L301" s="90"/>
      <c r="M301" s="89"/>
      <c r="N301" s="89"/>
      <c r="O301" s="89">
        <f t="shared" si="155"/>
        <v>14393.1</v>
      </c>
      <c r="P301" s="89">
        <f t="shared" si="156"/>
        <v>0</v>
      </c>
      <c r="Q301" s="91">
        <f t="shared" si="157"/>
        <v>0</v>
      </c>
      <c r="R301" s="91"/>
      <c r="S301" s="201"/>
    </row>
    <row r="302" ht="23.100000000000001" customHeight="1">
      <c r="A302" s="27"/>
      <c r="B302" s="179" t="s">
        <v>346</v>
      </c>
      <c r="C302" s="141"/>
      <c r="D302" s="141"/>
      <c r="E302" s="90">
        <f t="shared" si="153"/>
        <v>66537.899999999994</v>
      </c>
      <c r="F302" s="89">
        <v>66537.899999999994</v>
      </c>
      <c r="G302" s="89"/>
      <c r="H302" s="209"/>
      <c r="I302" s="209"/>
      <c r="J302" s="90"/>
      <c r="K302" s="90">
        <f t="shared" si="154"/>
        <v>0</v>
      </c>
      <c r="L302" s="89"/>
      <c r="M302" s="89"/>
      <c r="N302" s="89"/>
      <c r="O302" s="89">
        <f t="shared" si="155"/>
        <v>66537.899999999994</v>
      </c>
      <c r="P302" s="89">
        <f t="shared" si="156"/>
        <v>0</v>
      </c>
      <c r="Q302" s="91">
        <f t="shared" si="157"/>
        <v>0</v>
      </c>
      <c r="R302" s="91"/>
      <c r="S302" s="201"/>
    </row>
    <row r="303" ht="23.100000000000001" customHeight="1">
      <c r="A303" s="27"/>
      <c r="B303" s="179" t="s">
        <v>347</v>
      </c>
      <c r="C303" s="141"/>
      <c r="D303" s="141"/>
      <c r="E303" s="90">
        <f t="shared" si="153"/>
        <v>7542</v>
      </c>
      <c r="F303" s="89">
        <v>7542</v>
      </c>
      <c r="G303" s="89"/>
      <c r="H303" s="209"/>
      <c r="I303" s="209"/>
      <c r="J303" s="90"/>
      <c r="K303" s="90">
        <f t="shared" si="154"/>
        <v>0</v>
      </c>
      <c r="L303" s="89"/>
      <c r="M303" s="89"/>
      <c r="N303" s="89"/>
      <c r="O303" s="89">
        <f t="shared" si="155"/>
        <v>7542</v>
      </c>
      <c r="P303" s="89">
        <f t="shared" si="156"/>
        <v>0</v>
      </c>
      <c r="Q303" s="91">
        <f t="shared" si="157"/>
        <v>0</v>
      </c>
      <c r="R303" s="91"/>
      <c r="S303" s="201"/>
    </row>
    <row r="304" ht="23.100000000000001" customHeight="1">
      <c r="A304" s="27"/>
      <c r="B304" s="179" t="s">
        <v>348</v>
      </c>
      <c r="C304" s="141"/>
      <c r="D304" s="141"/>
      <c r="E304" s="90">
        <f t="shared" si="153"/>
        <v>146800.71507000001</v>
      </c>
      <c r="F304" s="89">
        <f>116441.4+30359.31507</f>
        <v>146800.71507000001</v>
      </c>
      <c r="G304" s="89"/>
      <c r="H304" s="209"/>
      <c r="I304" s="209"/>
      <c r="J304" s="90"/>
      <c r="K304" s="90">
        <f t="shared" si="154"/>
        <v>0</v>
      </c>
      <c r="L304" s="89"/>
      <c r="M304" s="89"/>
      <c r="N304" s="89"/>
      <c r="O304" s="89">
        <f t="shared" si="155"/>
        <v>146800.71507000001</v>
      </c>
      <c r="P304" s="89">
        <f t="shared" si="156"/>
        <v>0</v>
      </c>
      <c r="Q304" s="91">
        <f t="shared" si="157"/>
        <v>0</v>
      </c>
      <c r="R304" s="91"/>
      <c r="S304" s="201"/>
    </row>
    <row r="305" ht="23.100000000000001" customHeight="1">
      <c r="A305" s="27"/>
      <c r="B305" s="179" t="s">
        <v>364</v>
      </c>
      <c r="C305" s="141"/>
      <c r="D305" s="141"/>
      <c r="E305" s="90">
        <f t="shared" si="153"/>
        <v>43100.400000000001</v>
      </c>
      <c r="F305" s="89">
        <v>43100.400000000001</v>
      </c>
      <c r="G305" s="89"/>
      <c r="H305" s="209"/>
      <c r="I305" s="209"/>
      <c r="J305" s="90">
        <f>K305</f>
        <v>2954.8960900000002</v>
      </c>
      <c r="K305" s="90">
        <f t="shared" si="154"/>
        <v>2954.8960900000002</v>
      </c>
      <c r="L305" s="89">
        <f>97.88133+2857.01476</f>
        <v>2954.8960900000002</v>
      </c>
      <c r="M305" s="89"/>
      <c r="N305" s="89"/>
      <c r="O305" s="89">
        <f t="shared" si="155"/>
        <v>40145.503909999999</v>
      </c>
      <c r="P305" s="89">
        <f t="shared" si="156"/>
        <v>0</v>
      </c>
      <c r="Q305" s="91">
        <f t="shared" si="157"/>
        <v>0.068558437740717029</v>
      </c>
      <c r="R305" s="91"/>
      <c r="S305" s="201"/>
    </row>
    <row r="306" ht="23.100000000000001" customHeight="1">
      <c r="A306" s="27"/>
      <c r="B306" s="179" t="s">
        <v>355</v>
      </c>
      <c r="C306" s="141"/>
      <c r="D306" s="141"/>
      <c r="E306" s="90">
        <f t="shared" si="153"/>
        <v>5449.3079900000002</v>
      </c>
      <c r="F306" s="89">
        <v>5449.3079900000002</v>
      </c>
      <c r="G306" s="89"/>
      <c r="H306" s="209"/>
      <c r="I306" s="209"/>
      <c r="J306" s="90"/>
      <c r="K306" s="90">
        <f t="shared" si="154"/>
        <v>0</v>
      </c>
      <c r="L306" s="89"/>
      <c r="M306" s="89"/>
      <c r="N306" s="89"/>
      <c r="O306" s="89">
        <f t="shared" si="155"/>
        <v>5449.3079900000002</v>
      </c>
      <c r="P306" s="89">
        <f t="shared" si="156"/>
        <v>0</v>
      </c>
      <c r="Q306" s="91">
        <f t="shared" si="157"/>
        <v>0</v>
      </c>
      <c r="R306" s="91"/>
      <c r="S306" s="201"/>
    </row>
    <row r="307" ht="23.100000000000001" customHeight="1">
      <c r="A307" s="27"/>
      <c r="B307" s="179" t="s">
        <v>356</v>
      </c>
      <c r="C307" s="141"/>
      <c r="D307" s="141"/>
      <c r="E307" s="90">
        <f t="shared" si="153"/>
        <v>48488</v>
      </c>
      <c r="F307" s="89">
        <v>48488</v>
      </c>
      <c r="G307" s="89"/>
      <c r="H307" s="209"/>
      <c r="I307" s="209"/>
      <c r="J307" s="90"/>
      <c r="K307" s="90">
        <f t="shared" si="154"/>
        <v>0</v>
      </c>
      <c r="L307" s="89"/>
      <c r="M307" s="89"/>
      <c r="N307" s="89"/>
      <c r="O307" s="89">
        <f t="shared" si="155"/>
        <v>48488</v>
      </c>
      <c r="P307" s="89">
        <f t="shared" si="156"/>
        <v>0</v>
      </c>
      <c r="Q307" s="91">
        <f t="shared" si="157"/>
        <v>0</v>
      </c>
      <c r="R307" s="91"/>
      <c r="S307" s="201"/>
    </row>
    <row r="308" ht="23.100000000000001" customHeight="1">
      <c r="A308" s="27"/>
      <c r="B308" s="179" t="s">
        <v>358</v>
      </c>
      <c r="C308" s="141"/>
      <c r="D308" s="141"/>
      <c r="E308" s="90">
        <f t="shared" si="153"/>
        <v>145463.79999999999</v>
      </c>
      <c r="F308" s="89">
        <v>145463.79999999999</v>
      </c>
      <c r="G308" s="89"/>
      <c r="H308" s="209"/>
      <c r="I308" s="209"/>
      <c r="J308" s="90"/>
      <c r="K308" s="90">
        <f t="shared" si="154"/>
        <v>0</v>
      </c>
      <c r="L308" s="89"/>
      <c r="M308" s="89"/>
      <c r="N308" s="89"/>
      <c r="O308" s="89">
        <f t="shared" si="155"/>
        <v>145463.79999999999</v>
      </c>
      <c r="P308" s="89">
        <f t="shared" si="156"/>
        <v>0</v>
      </c>
      <c r="Q308" s="91">
        <f t="shared" si="157"/>
        <v>0</v>
      </c>
      <c r="R308" s="91"/>
      <c r="S308" s="201"/>
    </row>
    <row r="309" ht="23.100000000000001" customHeight="1">
      <c r="A309" s="27"/>
      <c r="B309" s="179" t="s">
        <v>359</v>
      </c>
      <c r="C309" s="141"/>
      <c r="D309" s="141"/>
      <c r="E309" s="90">
        <f t="shared" si="153"/>
        <v>43179.099999999999</v>
      </c>
      <c r="F309" s="89">
        <v>43179.099999999999</v>
      </c>
      <c r="G309" s="89"/>
      <c r="H309" s="209"/>
      <c r="I309" s="209"/>
      <c r="J309" s="90"/>
      <c r="K309" s="90">
        <f t="shared" si="154"/>
        <v>0</v>
      </c>
      <c r="L309" s="89"/>
      <c r="M309" s="89"/>
      <c r="N309" s="89"/>
      <c r="O309" s="89">
        <f t="shared" si="155"/>
        <v>43179.099999999999</v>
      </c>
      <c r="P309" s="89">
        <f t="shared" si="156"/>
        <v>0</v>
      </c>
      <c r="Q309" s="91">
        <f t="shared" si="157"/>
        <v>0</v>
      </c>
      <c r="R309" s="91"/>
      <c r="S309" s="201"/>
    </row>
    <row r="310" ht="25.5" hidden="1" customHeight="1">
      <c r="A310" s="27"/>
      <c r="B310" s="179" t="s">
        <v>368</v>
      </c>
      <c r="C310" s="141"/>
      <c r="D310" s="141"/>
      <c r="E310" s="90">
        <f t="shared" si="153"/>
        <v>0</v>
      </c>
      <c r="F310" s="89">
        <v>0</v>
      </c>
      <c r="G310" s="89"/>
      <c r="H310" s="209"/>
      <c r="I310" s="209"/>
      <c r="J310" s="90"/>
      <c r="K310" s="90">
        <f t="shared" si="154"/>
        <v>0</v>
      </c>
      <c r="L310" s="89"/>
      <c r="M310" s="89"/>
      <c r="N310" s="89"/>
      <c r="O310" s="89">
        <f t="shared" si="155"/>
        <v>0</v>
      </c>
      <c r="P310" s="89">
        <f t="shared" si="156"/>
        <v>0</v>
      </c>
      <c r="Q310" s="91"/>
      <c r="R310" s="91"/>
      <c r="S310" s="201"/>
    </row>
    <row r="311" ht="103.5" customHeight="1">
      <c r="A311" s="27"/>
      <c r="B311" s="165" t="s">
        <v>400</v>
      </c>
      <c r="C311" s="210"/>
      <c r="D311" s="211" t="s">
        <v>334</v>
      </c>
      <c r="E311" s="76">
        <f t="shared" ref="E311:P311" si="158">SUM(E312:E312)</f>
        <v>8633.7999999999993</v>
      </c>
      <c r="F311" s="76">
        <f t="shared" si="158"/>
        <v>0</v>
      </c>
      <c r="G311" s="76">
        <f t="shared" si="158"/>
        <v>0</v>
      </c>
      <c r="H311" s="76">
        <f t="shared" si="158"/>
        <v>8633.7999999999993</v>
      </c>
      <c r="I311" s="76">
        <f t="shared" si="158"/>
        <v>0</v>
      </c>
      <c r="J311" s="76">
        <f t="shared" si="158"/>
        <v>0</v>
      </c>
      <c r="K311" s="76">
        <f t="shared" si="158"/>
        <v>8633.7999999999993</v>
      </c>
      <c r="L311" s="76">
        <f t="shared" si="158"/>
        <v>0</v>
      </c>
      <c r="M311" s="76">
        <f t="shared" si="158"/>
        <v>0</v>
      </c>
      <c r="N311" s="76">
        <f t="shared" si="158"/>
        <v>8633.7999999999993</v>
      </c>
      <c r="O311" s="76">
        <f t="shared" si="158"/>
        <v>0</v>
      </c>
      <c r="P311" s="76">
        <f t="shared" si="158"/>
        <v>0</v>
      </c>
      <c r="Q311" s="109"/>
      <c r="R311" s="109">
        <f t="shared" ref="R303:R314" si="159">N311/H311</f>
        <v>1</v>
      </c>
      <c r="S311" s="212"/>
    </row>
    <row r="312" ht="24" customHeight="1">
      <c r="A312" s="27"/>
      <c r="B312" s="213" t="s">
        <v>369</v>
      </c>
      <c r="C312" s="214"/>
      <c r="D312" s="136"/>
      <c r="E312" s="90">
        <f>F312+G312+H312</f>
        <v>8633.7999999999993</v>
      </c>
      <c r="F312" s="215"/>
      <c r="G312" s="89"/>
      <c r="H312" s="89">
        <v>8633.7999999999993</v>
      </c>
      <c r="I312" s="178"/>
      <c r="J312" s="90"/>
      <c r="K312" s="90">
        <f>L312+M312+N312</f>
        <v>8633.7999999999993</v>
      </c>
      <c r="L312" s="178"/>
      <c r="M312" s="178"/>
      <c r="N312" s="90">
        <f>8633.8</f>
        <v>8633.7999999999993</v>
      </c>
      <c r="O312" s="209">
        <f>F312-L312</f>
        <v>0</v>
      </c>
      <c r="P312" s="209">
        <f>H312-N312</f>
        <v>0</v>
      </c>
      <c r="Q312" s="91"/>
      <c r="R312" s="91">
        <f t="shared" si="159"/>
        <v>1</v>
      </c>
      <c r="S312" s="175"/>
    </row>
    <row r="313" ht="120.75" customHeight="1">
      <c r="A313" s="27"/>
      <c r="B313" s="165" t="s">
        <v>401</v>
      </c>
      <c r="C313" s="210"/>
      <c r="D313" s="211" t="s">
        <v>334</v>
      </c>
      <c r="E313" s="76">
        <f t="shared" ref="E313:P313" si="160">SUM(E314:E314)</f>
        <v>16538.400000000001</v>
      </c>
      <c r="F313" s="76">
        <f t="shared" si="160"/>
        <v>0</v>
      </c>
      <c r="G313" s="76">
        <f t="shared" si="160"/>
        <v>0</v>
      </c>
      <c r="H313" s="76">
        <f t="shared" si="160"/>
        <v>16538.400000000001</v>
      </c>
      <c r="I313" s="76">
        <f t="shared" si="160"/>
        <v>0</v>
      </c>
      <c r="J313" s="76">
        <f t="shared" si="160"/>
        <v>0</v>
      </c>
      <c r="K313" s="76">
        <f t="shared" si="160"/>
        <v>16538.400000000001</v>
      </c>
      <c r="L313" s="76">
        <f t="shared" si="160"/>
        <v>0</v>
      </c>
      <c r="M313" s="76">
        <f t="shared" si="160"/>
        <v>0</v>
      </c>
      <c r="N313" s="76">
        <f t="shared" si="160"/>
        <v>16538.400000000001</v>
      </c>
      <c r="O313" s="76">
        <f t="shared" si="160"/>
        <v>0</v>
      </c>
      <c r="P313" s="76">
        <f t="shared" si="160"/>
        <v>0</v>
      </c>
      <c r="Q313" s="109"/>
      <c r="R313" s="109">
        <f t="shared" si="159"/>
        <v>1</v>
      </c>
      <c r="S313" s="212"/>
    </row>
    <row r="314" ht="24" customHeight="1">
      <c r="A314" s="27"/>
      <c r="B314" s="213" t="s">
        <v>369</v>
      </c>
      <c r="C314" s="214"/>
      <c r="D314" s="136"/>
      <c r="E314" s="90">
        <f t="shared" ref="E314:E316" si="161">F314+G314+H314</f>
        <v>16538.400000000001</v>
      </c>
      <c r="F314" s="89"/>
      <c r="G314" s="89"/>
      <c r="H314" s="89">
        <v>16538.400000000001</v>
      </c>
      <c r="I314" s="90"/>
      <c r="J314" s="90"/>
      <c r="K314" s="89">
        <f t="shared" ref="K314:K316" si="162">L314+M314+N314</f>
        <v>16538.400000000001</v>
      </c>
      <c r="L314" s="89"/>
      <c r="M314" s="89"/>
      <c r="N314" s="89">
        <v>16538.400000000001</v>
      </c>
      <c r="O314" s="90">
        <f t="shared" ref="O314:O316" si="163">F314-L314</f>
        <v>0</v>
      </c>
      <c r="P314" s="90">
        <f t="shared" ref="P314:P316" si="164">H314-N314</f>
        <v>0</v>
      </c>
      <c r="Q314" s="91"/>
      <c r="R314" s="91">
        <f t="shared" si="159"/>
        <v>1</v>
      </c>
      <c r="S314" s="175"/>
    </row>
    <row r="315" ht="63">
      <c r="A315" s="27"/>
      <c r="B315" s="165" t="s">
        <v>402</v>
      </c>
      <c r="C315" s="214"/>
      <c r="D315" s="136" t="s">
        <v>36</v>
      </c>
      <c r="E315" s="90">
        <f t="shared" si="161"/>
        <v>36551.599999999999</v>
      </c>
      <c r="F315" s="89">
        <v>36551.599999999999</v>
      </c>
      <c r="G315" s="209"/>
      <c r="H315" s="178"/>
      <c r="I315" s="178"/>
      <c r="J315" s="90"/>
      <c r="K315" s="90">
        <f t="shared" si="162"/>
        <v>3672.6241299999992</v>
      </c>
      <c r="L315" s="90">
        <f>47.24267+360.0012+33.3457+345.95392+943.08026+104.37094+113.66646+104.37094+450.32788+18.06452+132.05098+40+371.34781+2.9028+605.89805</f>
        <v>3672.6241299999992</v>
      </c>
      <c r="M315" s="178"/>
      <c r="N315" s="178"/>
      <c r="O315" s="89">
        <f t="shared" si="163"/>
        <v>32878.975870000002</v>
      </c>
      <c r="P315" s="89">
        <f t="shared" si="164"/>
        <v>0</v>
      </c>
      <c r="Q315" s="91">
        <f t="shared" si="157"/>
        <v>0.10047779385854516</v>
      </c>
      <c r="R315" s="91"/>
      <c r="S315" s="175"/>
    </row>
    <row r="316" ht="31.5">
      <c r="A316" s="27"/>
      <c r="B316" s="165" t="s">
        <v>403</v>
      </c>
      <c r="C316" s="214"/>
      <c r="D316" s="214"/>
      <c r="E316" s="90">
        <f t="shared" si="161"/>
        <v>108.01739999999999</v>
      </c>
      <c r="F316" s="90">
        <f>108.0174</f>
        <v>108.01739999999999</v>
      </c>
      <c r="G316" s="216"/>
      <c r="H316" s="216"/>
      <c r="I316" s="217"/>
      <c r="J316" s="90"/>
      <c r="K316" s="90">
        <f t="shared" si="162"/>
        <v>108.01739999999999</v>
      </c>
      <c r="L316" s="90">
        <f>108.0174</f>
        <v>108.01739999999999</v>
      </c>
      <c r="M316" s="217"/>
      <c r="N316" s="217"/>
      <c r="O316" s="89">
        <f t="shared" si="163"/>
        <v>0</v>
      </c>
      <c r="P316" s="89">
        <f t="shared" si="164"/>
        <v>0</v>
      </c>
      <c r="Q316" s="91">
        <f t="shared" si="157"/>
        <v>1</v>
      </c>
      <c r="R316" s="91"/>
      <c r="S316" s="218"/>
    </row>
    <row r="317" ht="18">
      <c r="B317" s="17"/>
      <c r="C317" s="219"/>
      <c r="D317" s="219"/>
      <c r="E317" s="220"/>
      <c r="F317" s="221"/>
      <c r="G317" s="221"/>
      <c r="H317" s="221"/>
      <c r="I317" s="17"/>
      <c r="J317" s="222"/>
      <c r="K317" s="17"/>
      <c r="L317" s="223"/>
      <c r="M317" s="223"/>
      <c r="N317" s="223"/>
      <c r="O317" s="224"/>
      <c r="P317" s="224"/>
      <c r="Q317" s="224"/>
      <c r="R317" s="224"/>
      <c r="S317" s="17"/>
    </row>
  </sheetData>
  <mergeCells count="16">
    <mergeCell ref="B1:R1"/>
    <mergeCell ref="A3:A4"/>
    <mergeCell ref="B3:B4"/>
    <mergeCell ref="C3:C4"/>
    <mergeCell ref="D3:D4"/>
    <mergeCell ref="E3:H3"/>
    <mergeCell ref="I3:I4"/>
    <mergeCell ref="J3:J4"/>
    <mergeCell ref="K3:N3"/>
    <mergeCell ref="O3:P3"/>
    <mergeCell ref="Q3:R3"/>
    <mergeCell ref="S3:S4"/>
    <mergeCell ref="O5:P5"/>
    <mergeCell ref="Q5:R5"/>
    <mergeCell ref="Q8:R8"/>
    <mergeCell ref="Q12:R12"/>
  </mergeCells>
  <printOptions headings="0" gridLines="0"/>
  <pageMargins left="0.19685039370078738" right="0.19685039370078738" top="0.31496062992125984" bottom="0.19685039370078738" header="0.31496062992125984" footer="0.31496062992125984"/>
  <pageSetup paperSize="9" scale="43" fitToWidth="1" fitToHeight="0" pageOrder="downThenOver" orientation="landscape" usePrinterDefaults="1" blackAndWhite="0" draft="0" cellComments="none" useFirstPageNumber="0" errors="displayed" horizontalDpi="600" verticalDpi="600" copies="1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Шехирева Виктория Александровна</dc:creator>
  <cp:revision>8</cp:revision>
  <dcterms:created xsi:type="dcterms:W3CDTF">2006-09-16T00:00:00Z</dcterms:created>
  <dcterms:modified xsi:type="dcterms:W3CDTF">2025-03-21T08:13:30Z</dcterms:modified>
  <cp:version>1048576</cp:version>
</cp:coreProperties>
</file>